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abloCasadoSentiment\Fecha2\"/>
    </mc:Choice>
  </mc:AlternateContent>
  <xr:revisionPtr revIDLastSave="0" documentId="13_ncr:1_{8105D713-7575-46B3-AFF6-FB091850F774}" xr6:coauthVersionLast="40" xr6:coauthVersionMax="40" xr10:uidLastSave="{00000000-0000-0000-0000-000000000000}"/>
  <bookViews>
    <workbookView xWindow="0" yWindow="0" windowWidth="23040" windowHeight="8412" xr2:uid="{00000000-000D-0000-FFFF-FFFF00000000}"/>
  </bookViews>
  <sheets>
    <sheet name="Pablo Casado langes -filterretw" sheetId="3" r:id="rId1"/>
  </sheets>
  <calcPr calcId="0"/>
</workbook>
</file>

<file path=xl/calcChain.xml><?xml version="1.0" encoding="utf-8"?>
<calcChain xmlns="http://schemas.openxmlformats.org/spreadsheetml/2006/main">
  <c r="U2478" i="3" l="1"/>
  <c r="K2478" i="3"/>
  <c r="E2478" i="3"/>
  <c r="B2478" i="3"/>
  <c r="U2477" i="3"/>
  <c r="K2477" i="3"/>
  <c r="E2477" i="3"/>
  <c r="B2477" i="3"/>
  <c r="U2476" i="3"/>
  <c r="K2476" i="3"/>
  <c r="E2476" i="3"/>
  <c r="B2476" i="3"/>
  <c r="U2475" i="3"/>
  <c r="K2475" i="3"/>
  <c r="E2475" i="3"/>
  <c r="B2475" i="3"/>
  <c r="U2474" i="3"/>
  <c r="K2474" i="3"/>
  <c r="E2474" i="3"/>
  <c r="B2474" i="3"/>
  <c r="U2473"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U2440"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U2298"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U2216"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U2175"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H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U2155"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U2147" i="3"/>
  <c r="K2147" i="3"/>
  <c r="E2147" i="3"/>
  <c r="B2147" i="3"/>
  <c r="U2146" i="3"/>
  <c r="K2146" i="3"/>
  <c r="E2146" i="3"/>
  <c r="B2146" i="3"/>
  <c r="U2145" i="3"/>
  <c r="K2145" i="3"/>
  <c r="E2145" i="3"/>
  <c r="B2145" i="3"/>
  <c r="U2144" i="3"/>
  <c r="K2144" i="3"/>
  <c r="E2144" i="3"/>
  <c r="B2144" i="3"/>
  <c r="U2143"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H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U1997"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U1984"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U1978"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U1687"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U1495"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U1459"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U1426" i="3"/>
  <c r="K1426" i="3"/>
  <c r="E1426" i="3"/>
  <c r="B1426" i="3"/>
  <c r="U1425" i="3"/>
  <c r="K1425" i="3"/>
  <c r="E1425" i="3"/>
  <c r="B1425" i="3"/>
  <c r="U1424" i="3"/>
  <c r="K1424" i="3"/>
  <c r="E1424" i="3"/>
  <c r="B1424" i="3"/>
  <c r="U1423" i="3"/>
  <c r="K1423" i="3"/>
  <c r="E1423" i="3"/>
  <c r="B1423" i="3"/>
  <c r="U1422" i="3"/>
  <c r="K1422" i="3"/>
  <c r="E1422" i="3"/>
  <c r="B1422"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U1348"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U1130" i="3"/>
  <c r="K1130" i="3"/>
  <c r="E1130" i="3"/>
  <c r="B1130" i="3"/>
  <c r="U1129"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U1062"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U1052"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U913"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K714" i="3"/>
  <c r="E714" i="3"/>
  <c r="B714"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U683" i="3"/>
  <c r="K683" i="3"/>
  <c r="E683" i="3"/>
  <c r="B683" i="3"/>
  <c r="U682"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U668"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H591" i="3"/>
  <c r="E591" i="3"/>
  <c r="B591" i="3"/>
  <c r="U590" i="3"/>
  <c r="K590" i="3"/>
  <c r="H590" i="3"/>
  <c r="E590" i="3"/>
  <c r="B590" i="3"/>
  <c r="U589" i="3"/>
  <c r="K589" i="3"/>
  <c r="H589" i="3"/>
  <c r="E589" i="3"/>
  <c r="B589" i="3"/>
  <c r="U588" i="3"/>
  <c r="K588" i="3"/>
  <c r="E588" i="3"/>
  <c r="B588" i="3"/>
  <c r="U587" i="3"/>
  <c r="K587" i="3"/>
  <c r="H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U471"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U381" i="3"/>
  <c r="K381" i="3"/>
  <c r="E381" i="3"/>
  <c r="B381" i="3"/>
  <c r="U380" i="3"/>
  <c r="K380" i="3"/>
  <c r="E380" i="3"/>
  <c r="B380" i="3"/>
  <c r="U379" i="3"/>
  <c r="K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U207"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K188" i="3"/>
  <c r="E188" i="3"/>
  <c r="B188" i="3"/>
  <c r="U187" i="3"/>
  <c r="K187" i="3"/>
  <c r="E187" i="3"/>
  <c r="B187" i="3"/>
  <c r="U186" i="3"/>
  <c r="K186" i="3"/>
  <c r="E186" i="3"/>
  <c r="B186"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U131" i="3"/>
  <c r="K131" i="3"/>
  <c r="E131" i="3"/>
  <c r="B131" i="3"/>
  <c r="U130" i="3"/>
  <c r="K130" i="3"/>
  <c r="E130" i="3"/>
  <c r="B130" i="3"/>
  <c r="U129" i="3"/>
  <c r="K129" i="3"/>
  <c r="E129" i="3"/>
  <c r="B129" i="3"/>
  <c r="U128" i="3"/>
  <c r="K128" i="3"/>
  <c r="E128" i="3"/>
  <c r="B128" i="3"/>
  <c r="U127" i="3"/>
  <c r="K127" i="3"/>
  <c r="E127" i="3"/>
  <c r="B127"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U48"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U39"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<sst xmlns="http://schemas.openxmlformats.org/spreadsheetml/2006/main" count="12038" uniqueCount="8419">
  <si>
    <t>Twitter Query: Pablo Casado lang:es -filter:retweets -filter:replies</t>
  </si>
  <si>
    <t>Date</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</si>
  <si>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</si>
  <si>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</si>
  <si>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</si>
  <si>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</si>
  <si>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</si>
  <si>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</si>
  <si>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</si>
  <si>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</si>
  <si>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</si>
  <si>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</si>
  <si>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</si>
  <si>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</si>
  <si>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</si>
  <si>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</si>
  <si>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</si>
  <si>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</si>
  <si>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</si>
  <si>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</si>
  <si>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</si>
  <si>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</si>
  <si>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Sr. Spinola</t>
  </si>
  <si>
    <t>El @PPopular de siempre?? Empezamos bien Casado llama a sus ex votantes a volver "al PP de siempre" porque no hay otro partidos con sus principios</t>
  </si>
  <si>
    <t>https://okdiario.com/espana/2018/12/08/pablo-casado-llama-sus-ex-votantes-volver-pp-3442945#.XAvyuRIzpQw.twitter</t>
  </si>
  <si>
    <t>Las Rozas de Madrid, España</t>
  </si>
  <si>
    <t>Zapper News App</t>
  </si>
  <si>
    <t>Nunca olvidéis lo que somos ni de donde venimos...nuestra historia nuestro orgullo. #RecuperemosLasRozas #LasRozas. ESPAÑOL, TECNOCRATA Y ROCEÑO</t>
  </si>
  <si>
    <t>https://www.zapper.news/news</t>
  </si>
  <si>
    <t>بن مردنيش</t>
  </si>
  <si>
    <t>Madrid, Comunidad de Madrid</t>
  </si>
  <si>
    <t>Me dicen que esta mañana Pablo Casado se ha paseado por el tontódromo y me parece todo tan poético.</t>
  </si>
  <si>
    <t>¿Eres de derechas o de izquierdas? Elige tus periódicos en http://www.zapper.news 📊📰🗺️ | Conoce nuestro Buscador de noticias: http://www.zapper.news/search</t>
  </si>
  <si>
    <t>http://www.zapper.news</t>
  </si>
  <si>
    <t>No Brain No Future</t>
  </si>
  <si>
    <t>LOS SÁBADOS... FRASES REALES. Pablo Casado (2018): "El PP es el partido de la honestidad" @pablocasado_ #pablocasado @PPopular #PP #Corrupcion #humor</t>
  </si>
  <si>
    <t>Abajo a la derecha.</t>
  </si>
  <si>
    <t>Βασιλεύς Βασιλέων, Βασιλεύων Βασιλευόντων.</t>
  </si>
  <si>
    <t>http://www.last.fm/user/Thethlumth</t>
  </si>
  <si>
    <t>https://pbs.twimg.com/media/Dt5XMJgWoAAVAEx.jpg</t>
  </si>
  <si>
    <t>Reflexiones negro sobre blanco ¡Un poco de humor! ADVERTENCIA: Frases falsas atribuidas a personajes públicos. Si alguien se siente ofendido, nuestras disculpas</t>
  </si>
  <si>
    <t>laverdad_es</t>
  </si>
  <si>
    <t>Pablo Casado presenta en Murcia a los candidatos de su partido a la Comunidad y al Ayuntamiento de la capital</t>
  </si>
  <si>
    <t>http://bit.ly/2QmtlYs</t>
  </si>
  <si>
    <t>✅</t>
  </si>
  <si>
    <t>Región de Murcia</t>
  </si>
  <si>
    <t>Edición digital del Diario La Verdad de Murcia, con información actualizada al minuto las 24 horas al día con noticias, imágenes y contenidos audiovisuales.</t>
  </si>
  <si>
    <t>http://www.laverdad.es</t>
  </si>
  <si>
    <t>España</t>
  </si>
  <si>
    <t>Sergio casanova ®</t>
  </si>
  <si>
    <t>Pablo Casado: "haré lo posible para impedir que el Salario Mínimo Interprofesional suba a 900 euros"</t>
  </si>
  <si>
    <t>http://www.librediariodigital.net/texto-diario/mostrar/1207785/pablo-casado-hare-posible-impedir-salario-minimo-interprofesional-suba-900-euros</t>
  </si>
  <si>
    <t>Escritor y bloguer:</t>
  </si>
  <si>
    <t>Salud y sabiduría en sus días ... ® Mi perfil de : https://facebook.com/sergiocasanovasegura de Nerja (Málaga)</t>
  </si>
  <si>
    <t>http://amiss0709.com</t>
  </si>
  <si>
    <t>Alberto</t>
  </si>
  <si>
    <t>Casado: "Queremos un pacto de 47 escaños con Cs y que otros partidos se abstengan"  vía @20m. Pues la izquierda suma 50, por qué no se abstiene su grupo @pablocasado_ ,necesitan lo que necesitan,retrátese junto a ellos y proclámese anti Europa y autonomía</t>
  </si>
  <si>
    <t>https://www.20minutos.es/noticia/3511566/0/pablo-casado-pacto-andalucia-ciudadanos-otros-partidos-abstencion/?utm_source=twitter.com&amp;utm_medium=socialshare&amp;utm_campaign=mobile_web</t>
  </si>
  <si>
    <t>Por aquí cerca,Tenerife</t>
  </si>
  <si>
    <t>Aerolíneas 23!! por Andrés Montes 🏀,maestro,sindicalista,delegado de #CCOO y de izquierdas, por cierto,qué difícil empezar de nuevo en esto.</t>
  </si>
  <si>
    <t>OKDIARIO</t>
  </si>
  <si>
    <t>Casado llama a sus ex votantes a volver “al PP de siempre” porque no hay otro partidos con sus principios</t>
  </si>
  <si>
    <t>https://okdiario.com/espana/2018/12/08/pablo-casado-llama-sus-ex-votantes-volver-pp-3442945?utm_term=Autofeed&amp;utm_campaign=ok&amp;utm_medium=Social&amp;utm_source=Twitter#Echobox=1544285796</t>
  </si>
  <si>
    <t>El sitio de los inconformistas. Dirigido por @eduardoinda. Síguenos en Facebook: http://facebook.com/okdiario.</t>
  </si>
  <si>
    <t>http://okdiario.com/</t>
  </si>
  <si>
    <t>La Voz del Becario</t>
  </si>
  <si>
    <t>Pablo Casado promete aplicar el 155 a IKEA por declarar la República Independiente de tu Casa</t>
  </si>
  <si>
    <t>Las noticias más divertidas que no encontrarás en otro sitio Estamos también en Facebook, Instagram, Telegram y en la radio con @Frank_Blanco en @telavasaganar</t>
  </si>
  <si>
    <t>http://www.lavozdelbecario.es</t>
  </si>
  <si>
    <t>GustavoReportero</t>
  </si>
  <si>
    <t>El problemón es que NO es sólo @Pablo_Iglesias_ . Son también @QuimTorraiPla azuzando a los CDR y violando gravemente el Estado de Derecho, @ArnaldoOtegi señalando ahora a Casado, @Rufian... Y el máximo responsable de todo es @sanchezcastejon, su socio. RT @Santi_ABASCAL: Dijimos que señalábamos a Pablo Iglesias como instigador de este clima de odio y de las agresiones que se produjeran...y hoy lo reiteramos. ¿Hasta cuándo van a a seguir los comunistas podemitas rompiendo la convivencia?</t>
  </si>
  <si>
    <t>https://twitter.com/Santi_ABASCAL/status/1071166776011055105
https://twitter.com/libertaddigital/status/1071126968064589824</t>
  </si>
  <si>
    <t>Víctor Arrogante ✊</t>
  </si>
  <si>
    <t>Pablo Casado recupera ahora los argumentos del nacionalismo: "Gibraltar español"  @kaosenlarednet #TratadoUtrech #ConflictoGibraltarEspaña #DerechoDeAutodeterminación #Brexit</t>
  </si>
  <si>
    <t>https://kaosenlared.net/tratado-de-utrecht-dos/</t>
  </si>
  <si>
    <t>Madrid (España)</t>
  </si>
  <si>
    <t>Profesor. Ayer y hoy militante por la justicia, la igualdad y la solidaridad. Inmediatamente me di cuenta que era algo por lo que merecía la pena luchar</t>
  </si>
  <si>
    <t>http://www.multiforo.eu</t>
  </si>
  <si>
    <t>Cristina Mendia</t>
  </si>
  <si>
    <t>http://www.librediariodigital.net/texto-diario/mostrar/1207785/pablo-casado-hare-posible-impedir-salario-minimo-interprofesional-suba-900-euros#.XAvreg-DHMR.twitter</t>
  </si>
  <si>
    <t>Alicante, España</t>
  </si>
  <si>
    <t>Bilbao, España</t>
  </si>
  <si>
    <t>Amante de la música y la amistad. Liderando en Igualdad y Conciliación</t>
  </si>
  <si>
    <t>The Objective</t>
  </si>
  <si>
    <t>Pablo Casado dice que el independentismo si quería romper España lo que está consiguiendo es romper Cataluña</t>
  </si>
  <si>
    <t>http://bit.ly/2G6EZ4W</t>
  </si>
  <si>
    <t>Spain</t>
  </si>
  <si>
    <t>Periodismo ethos | Conecta con la sensibilidad de la sociedad que define nuestro futuro.</t>
  </si>
  <si>
    <t>http://theobjective.com</t>
  </si>
  <si>
    <t>http://shr.gs/k83WNfQ</t>
  </si>
  <si>
    <t>http://www.librediariodigital.net/texto-diario/mostrar/1207785/pablo-casado-hare-posible-impedir-salario-minimo-interprofesional-suba-900-euros#.XAvqXHBT2gg.twitter</t>
  </si>
  <si>
    <t>Marc</t>
  </si>
  <si>
    <t>Me pasáis fondos de pantalla por favor tengo a Pablo Casado y no sé por que</t>
  </si>
  <si>
    <t>Palma de Mallorca, Illes Balears</t>
  </si>
  <si>
    <t>18. Memero semi-pro. Becario senior y CM de @Esportmaniacos. Salut i república. Candado: @ToxicAndTilted</t>
  </si>
  <si>
    <t>https://curiouscat.me/Tiexable</t>
  </si>
  <si>
    <t>Murcia, España</t>
  </si>
  <si>
    <t>Mari Carmen #FreeTabarnia #SanchezDimision</t>
  </si>
  <si>
    <t>Que dice Pablo Iglesias que, como sabe que Pablo Casado será el próximo presidente del Gobierno elegido en las urnas, Vox es el PP de Aznar pero que el no es chavista 👇👇👇</t>
  </si>
  <si>
    <t>https://pbs.twimg.com/media/Dt58KvVWkAEPK07.jpg</t>
  </si>
  <si>
    <t>Excepto Dios, nadie es lo suficientemente importante en tu vida para amargártela. ( Pedro Altuna)</t>
  </si>
  <si>
    <t>Juanjo Sánchez Serrano</t>
  </si>
  <si>
    <t>El presidente del Partido Popular Pablo Casado, próximo presidente de #España</t>
  </si>
  <si>
    <t>https://pbs.twimg.com/media/Dt56ClUWsAQZyfF.jpg</t>
  </si>
  <si>
    <t>https://www.eldiario.es/_3245821b</t>
  </si>
  <si>
    <t>El único medio de conocimiento es la experiencia comprobada o verificada a través de los sentidos.</t>
  </si>
  <si>
    <t>El HuffPost</t>
  </si>
  <si>
    <t>El dardo de Bertín Osborne del que sólo se salvan Albert Rivera y Pablo Casado</t>
  </si>
  <si>
    <t>https://www.huffingtonpost.es/2018/12/07/el-dardo-de-bertin-osborne-a-gabriel-rufian-y-pablo-iglesias-espana-es-el-pais-con-mas-politicos-idiotas-por-metro-cuadrado_a_23611885/?utm_hp_ref=es-homepage</t>
  </si>
  <si>
    <t>Madrid, Spain</t>
  </si>
  <si>
    <t>▶Facebook http://bit.ly/1sDqXwu ▶Telegram http://bit.ly/1sDriPC ▶Android http://bit.ly/1NcE6TE ▶iOS http://bit.ly/1AokTa1</t>
  </si>
  <si>
    <t>http://www.huffingtonpost.es</t>
  </si>
  <si>
    <t>eldiariomurcia</t>
  </si>
  <si>
    <t>AGUA | Pablo Casado ha destacado que, a través de políticas de Estado, se necesita "que haya una igualdad de acceso a los recursos que para el PP son esenciales".</t>
  </si>
  <si>
    <t>https://www.eldiario.es/murcia/medio_ambiente/Pablo-Casado-garantiza-Murcia-Tajo-Segura_0_844115670.html</t>
  </si>
  <si>
    <t>Región de Murcia - La Tierra</t>
  </si>
  <si>
    <t>📰 Eldiario.es en la Región de Murcia. Periodismo a pesar de todo.</t>
  </si>
  <si>
    <t>http://www.eldiario.es/murcia/</t>
  </si>
  <si>
    <t>Aragón Radio</t>
  </si>
  <si>
    <t>El presidente del PP, Pablo Casado, anuncia en Murcia que la semana que viene presentará el Congreso una Proposición de Ley para un Pacto Nacional por el Agua con un dotación de 20.000 millones de euros y más de 300 actuaciones no solo en las cuencas deficitarias</t>
  </si>
  <si>
    <t>https://pbs.twimg.com/media/Dt54rIvX4AIk3Nk.jpg</t>
  </si>
  <si>
    <t>Aragón, España</t>
  </si>
  <si>
    <t>Cuenta oficial de Aragón Radio, la radio autonómica de Aragón. Cercana y participativa. Puedes hablar con nosotros y recuperar contenidos en @aragonradio2</t>
  </si>
  <si>
    <t>http://www.aragonradio.es</t>
  </si>
  <si>
    <t>Diego 🔻</t>
  </si>
  <si>
    <t>María José S</t>
  </si>
  <si>
    <t>La ignorancia de Pablo Casado: no sabe qué es una República - Mediterraneo Diario16</t>
  </si>
  <si>
    <t>http://mediterraneo.diario16.com/la-ignorancia-pablo-casado-no-sabe-una-republica/</t>
  </si>
  <si>
    <t>Dehesas Viejas Granada</t>
  </si>
  <si>
    <t>Estudiante de historia de la UGR ,soy el amo de mi destino, soy el capitán de mi alma. FC Barcelona-Granada CF Republicano español y andaluz Hizaviejero de cuna</t>
  </si>
  <si>
    <t>SANLUCAR LA MAYOR</t>
  </si>
  <si>
    <t>Soy una chica entusiasta y preocupada por el bienestar social . Soy muy activa y dinamica, me encantan los nuevos retos.</t>
  </si>
  <si>
    <t>AlBeer🍺</t>
  </si>
  <si>
    <t>Cuando salen por la tele, confundo las caras de Pablo Casado y Albert Rivera. Real</t>
  </si>
  <si>
    <t>Móstoles, España</t>
  </si>
  <si>
    <t>Balonmano Móstoles. SAMCRO. Joker. Yo me gano mi suerte.</t>
  </si>
  <si>
    <t>Miki Martinez</t>
  </si>
  <si>
    <t>Sé como Pablo Casado. Tiene carrera y doctorado sin hacer nada y es famoso y se hará rico sin hacer también prácticamente nada. Aunas las dos cosas en una sola vida RT @h4rryindie: una parte de mí quiere ser famosa millonaria sin hacer nada y otra parte quiere ser una profesional exitosa con 2 títulos y un doctorado, no hay punto medio</t>
  </si>
  <si>
    <t>https://twitter.com/h4rryindie/status/1070856548690333696</t>
  </si>
  <si>
    <t>(Inserte aquí una frase ingeniosa) #LetWestbrookBeWestbrook</t>
  </si>
  <si>
    <t>Albert #PaísValencià</t>
  </si>
  <si>
    <t>https://m.eldiario.es/_324580bb</t>
  </si>
  <si>
    <t>Andres Blanco Fernan</t>
  </si>
  <si>
    <t>Los problemas de Casado con la caja B del PP antes de Navidad via @El_Plural</t>
  </si>
  <si>
    <t>https://www.elplural.com/politica/caja-b-partido-popular-congreso-diputados-comision-investigacion-villarejo-pablo-casado_207693102</t>
  </si>
  <si>
    <t>València</t>
  </si>
  <si>
    <t>País Valencià</t>
  </si>
  <si>
    <t>Psicología aldeana. ¿El café? Con poco azúcar. Vamos a por la Tercera.</t>
  </si>
  <si>
    <t>Bilbao</t>
  </si>
  <si>
    <t>_Marlow_</t>
  </si>
  <si>
    <t>Pablo Casado quiere recentralizar la política hidráulica</t>
  </si>
  <si>
    <t>Pablo Casado aspira a gobernar España en coalición con Ciudadanos "en seis meses o un año" | #España #Espana #noticias #Ciudadanos #PP #politica #Casado #PabloCasado #Gobierno &gt;</t>
  </si>
  <si>
    <t>https://www.elmundo.es/espana/2018/12/08/5c0adb54fdddffcc228b45f7.html</t>
  </si>
  <si>
    <t>https://www.zapper.news/news?tpost=250810&amp;taccount=zapper_news</t>
  </si>
  <si>
    <t>No hay que temer mas que al propio temor y al protegernos de lo imposible hacemos que lo impensable alcance a ser lo imaginable..</t>
  </si>
  <si>
    <t>Paco Julián</t>
  </si>
  <si>
    <t>http://www.librediariodigital.net/texto-diario/mostrar/1207785/pablo-casado-hare-posible-impedir-salario-minimo-interprofesional-suba-900-euros#.XAvbgOAFoYk.facebook</t>
  </si>
  <si>
    <t>Guijuelo.(Salamanca)</t>
  </si>
  <si>
    <t>20minutos.es</t>
  </si>
  <si>
    <t>Pablo Casado ficha como jefe de Gabinete a Javier Lasquetty, privatizador de la sanidad y hombre de Aznar y Aguirre | #Casado #PabloCasado #PP #Gobierno &gt;</t>
  </si>
  <si>
    <t>https://www.zapper.news/news?tpost=250570&amp;taccount=zapper_news</t>
  </si>
  <si>
    <t>Casado: "Queremos un pacto de 47 escaños con Cs y que otros partidos se abstengan"</t>
  </si>
  <si>
    <t>http://ver.20m.es/1kc5l1</t>
  </si>
  <si>
    <t>Castilla-La Mancha</t>
  </si>
  <si>
    <t>Cuenta oficial de 20minutos, el medio social y ciudadano. Información, análisis y contacto personal con los lectores las 24 horas del día http://facebook.com/20minutos.es</t>
  </si>
  <si>
    <t>https://www.20minutos.es/</t>
  </si>
  <si>
    <t>O BOSQUE MAXICO</t>
  </si>
  <si>
    <t>Andalucía, España</t>
  </si>
  <si>
    <t>http://www.efe.com/</t>
  </si>
  <si>
    <t>https://lavozdelbecario.es/pablo-casado-promete-aplicar-el-155-a-ikea-por-declarar-la-republica-independiente-de-tu-casa/</t>
  </si>
  <si>
    <t>Ourense</t>
  </si>
  <si>
    <t>http://www.obosquemaxico.es</t>
  </si>
  <si>
    <t>Cristóbal Delatorre</t>
  </si>
  <si>
    <t>http://dlvr.it/Qt81bd</t>
  </si>
  <si>
    <t>https://pbs.twimg.com/media/Dt5vg4yVYAAWaf9.jpg</t>
  </si>
  <si>
    <t>Las Palmas de Gran Canaria</t>
  </si>
  <si>
    <t>Soy Republicano y de Podemos ✊ 💜. Soy alérgico al PP-Cs-Psoe.</t>
  </si>
  <si>
    <t>Alfonso Avilés Sánchez</t>
  </si>
  <si>
    <t>La Razón</t>
  </si>
  <si>
    <t>Inequívoco y rotundo posicionamiento en favor de la Tauromaquia, del Presidente del PP, Pablo Casado, hoy en Murcia.</t>
  </si>
  <si>
    <t>Murcia, Región de Murcia</t>
  </si>
  <si>
    <t>Cuenta oficial del diario LA RAZÓN. RT y HT no significan necesariamente acuerdo. http://facebook.com/larazon.es http://instagram.com/larazon.es/</t>
  </si>
  <si>
    <t>Listas otros</t>
  </si>
  <si>
    <t>http://www.larazon.es</t>
  </si>
  <si>
    <t>http://ver.20m.es/1kc5l3</t>
  </si>
  <si>
    <t>https://pbs.twimg.com/media/Dt5vTQZWkAEjdoh.jpg</t>
  </si>
  <si>
    <t>Euskal Herria</t>
  </si>
  <si>
    <t>http://listas.20minutos.es/otros/</t>
  </si>
  <si>
    <t>Juan Antonio Tirado</t>
  </si>
  <si>
    <t>http://dlvr.it/Qt80Pb</t>
  </si>
  <si>
    <t>https://pbs.twimg.com/media/Dt5trjRU4AIcuwK.jpg</t>
  </si>
  <si>
    <t>Madrid</t>
  </si>
  <si>
    <t>Periodista. Onda Cero. Editor de iBooks, director de @Stonewall_iBook; Radio Inter, Onda Madrid, Radio Voz, City Fm; Prensa4, El Telegrafo y Fotos; PopularTV...</t>
  </si>
  <si>
    <t>https://itunes.apple.com/es/book/gettysburg-1863/id665369445?mt=11</t>
  </si>
  <si>
    <t>NNGG JUMILLA</t>
  </si>
  <si>
    <t>Pablo Casado y Seve González López han hablado claro esta mañana, el Partido Popular tiene proyecto, equipo e ilusión para Jumilla, la Región de Murcia y España 🇪🇸. #IlusiónXJumilla</t>
  </si>
  <si>
    <t>https://www.facebook.com/story.php?story_fbid=2163778927169927&amp;id=1394457667435394</t>
  </si>
  <si>
    <t>Jumilla</t>
  </si>
  <si>
    <t>Página oficial de Twitter de Nuevas Generaciones de Jumilla.</t>
  </si>
  <si>
    <t>http://www.ppjumilla.es</t>
  </si>
  <si>
    <t>La 7 TV</t>
  </si>
  <si>
    <t>Pablo Casado llega a Murcia con una promesa para los regantes murcianos</t>
  </si>
  <si>
    <t>http://7tvregiondemurcia.es/pablo-casado-llega-a-murcia-con-una-promesa-para-los-regantes-murcianos/</t>
  </si>
  <si>
    <t>Barcelona, Spain</t>
  </si>
  <si>
    <t>La 7 Televisión Autonómica de la Región de Murcia.</t>
  </si>
  <si>
    <t>http://webtv.7tvregiondemurcia.es/</t>
  </si>
  <si>
    <t>Indal42</t>
  </si>
  <si>
    <t>Pablo Casado ya se ha afiliado treinta mil veces por lo menos. RT @AchAncor: @locuspolitikus @verdeyi @kaesarboiisss @rameneses1 @MaiMtr53 @__CarmenLopez @Cleopatroll @Bastetlove3</t>
  </si>
  <si>
    <t>https://twitter.com/achancor/status/1071395982326288384
https://diariopatriota.com/las-afiliaciones-a-vox-se-disparan-ya-hay-mas-de-20-000-afiliados-y-estan-cerca-de-superar-a-ciudadanos/?fbclid=IwAR1cyADG840ZvXL8W6SAvIe2Bd8wljIsREYelLqoUsgj03JQ1m1-UQJ9uYg</t>
  </si>
  <si>
    <t>Almería</t>
  </si>
  <si>
    <t>Francotwitteador republicano en la batalla por la decencia, la honestidad y la verdad.</t>
  </si>
  <si>
    <t>EFE Murcia</t>
  </si>
  <si>
    <t>El presidente nacional del PP, Pablo Casado, ha dicho hoy en un acto del partido en Murcia que el presidente del Gobierno, Pedro Sánchez, debe aplicar cuanto antes el artículo 155 de la Constitución en Cataluña.</t>
  </si>
  <si>
    <t>https://pbs.twimg.com/media/Dt5osxJXgAEUqzw.jpg</t>
  </si>
  <si>
    <t>Delegación en Murcia de la Agencia EFE (@EFEnoticias).</t>
  </si>
  <si>
    <t>El presidente nacional del PP, Pablo Casado, ha anunciado hoy durante un acto de presentación de candidaturas en Murcia que la próxima semana su partido presentará en las Cortes una proposición de ley de Plan Nacional Hídrico.</t>
  </si>
  <si>
    <t>https://pbs.twimg.com/media/Dt5ofPJW4AAtVNg.jpg</t>
  </si>
  <si>
    <t>clm24.es</t>
  </si>
  <si>
    <t>cayeruby✊✊</t>
  </si>
  <si>
    <t>Jajajajajajajajajajajajajajajajajajajajajajajajajajajajajajajajajajaja. Comienza la cuenta atrás de la nueva generación Pablo Casado: El escupe aceitunas. Lasquetty el privatizador. David Pérez el homófóbo machista.</t>
  </si>
  <si>
    <t>Toledo, España</t>
  </si>
  <si>
    <t>Leganés, España</t>
  </si>
  <si>
    <t>#Republicano, ateo, antitaurino, activista y animalista. Hay pruebas evidentes que el ser humano creó a sus Dioses, pero ninguna que Dios creara al ser humano.</t>
  </si>
  <si>
    <t>Diario de información general de Castilla-La Mancha. Otra forma de estar informad@ :) - Síguenos también en http://www.facebook.com/clm24.es</t>
  </si>
  <si>
    <t>http://www.clm24.es</t>
  </si>
  <si>
    <t>Qué pasa en Murcia</t>
  </si>
  <si>
    <t>Casado presenta en Murcia un Pacto Nacional del Agua con una dotación de 20.000 millones: El presidente del PP, Pablo Casado, presentó ayer ante los regantes murcianos un Plan Nacional del Agua que estará dotado con 20.000 millones de euros y en…  #murcia</t>
  </si>
  <si>
    <t>http://dlvr.it/Qt7vCJ</t>
  </si>
  <si>
    <t>https://pbs.twimg.com/media/Dt5mS02VsAEqLXe.jpg</t>
  </si>
  <si>
    <t>Murcia</t>
  </si>
  <si>
    <t>Contando las cosas que están pasando en Murcia. Actividades culturales, noticias regionales ... http://facebook.com/quepasaenmurcia</t>
  </si>
  <si>
    <t>http://quepasaenmurcia.net</t>
  </si>
  <si>
    <t>Madrid, España</t>
  </si>
  <si>
    <t>http://www.pp.es/</t>
  </si>
  <si>
    <t>Somos Región</t>
  </si>
  <si>
    <t>El presidente de #SomosRegión alerta sobre las nuevas promesas del presidente del PP, Pablo Casado y advierte que los representantes de los regantes “no deben perder la memoria del pasado, ni la perspectiva del futuro”. #AlbertoGarre #Presidente</t>
  </si>
  <si>
    <t>https://www.somosregion.es/garre-el-pp-puede-estar-jugando-con-fuego-con-nuevas-promesas-vacias-a-los-regantes/</t>
  </si>
  <si>
    <t>Región de Murcia, España</t>
  </si>
  <si>
    <t>Somos Región es un proyecto político regenerador, de centro social y reformista, al servicio de los intereses generales de los ciudadanos de la Región Murcia</t>
  </si>
  <si>
    <t>http://www.somosregion.es</t>
  </si>
  <si>
    <t>Marcos Alonso</t>
  </si>
  <si>
    <t>Al parecer, en el centro derecha de Alemania ha ganado “el sorayismo” frente a un Pablo Casado que sería aquí. El centro derecha se va al traste en Europa, ¿por qué? Por la aceptación del buenísimo social ideológico por “el que dirán” 🤦🏻‍♂️</t>
  </si>
  <si>
    <t>https://www.elconfidencial.com/mundo/2018-12-07/alemania-akk-merkel-afd-ultraderecha_1692906/</t>
  </si>
  <si>
    <t xml:space="preserve">Reino de España </t>
  </si>
  <si>
    <t>Patriota sin complejos y toledano. Dando la batalla de las ideas. Uno más de la #EspañaViva 🇪🇸</t>
  </si>
  <si>
    <t>https://youtu.be/RaSIX4-RPAI</t>
  </si>
  <si>
    <t>Murciatuabandonomepuedematar</t>
  </si>
  <si>
    <t>Hoy con el presidente del PP Pablo Casado y el presidente de la comunidad autónoma de Murcia Fernando López Miras, donde haya un político del partido que sea ahí estamos para luchar por todo el colectivo #tuabandonoMePuedeMatar #sosprisiones</t>
  </si>
  <si>
    <t>https://pbs.twimg.com/media/Dt5lMBqWkAAtgZj.jpg</t>
  </si>
  <si>
    <t>PARTIDO SOLIDARIDAD</t>
  </si>
  <si>
    <t>EFEnoticias España</t>
  </si>
  <si>
    <t>Pablo Casado pide a Sánchez que aplique el 155 ante una Generalitat "desbocada"</t>
  </si>
  <si>
    <t>Toda la actualidad informativa de España, cuenta oficial para España de @EFEnoticias Otros perfiles en http://bit.ly/AgenciaEFE</t>
  </si>
  <si>
    <t>La situación en España es cada vez más grave. Recomendamos que os unáis a VOX. Y que ayudéis a Venezuela, Nicaragua y Cuba a salir de la dictadura comunista</t>
  </si>
  <si>
    <t>Mariano Soto</t>
  </si>
  <si>
    <t>Campo de Cartagena</t>
  </si>
  <si>
    <t>Dr. Ingeniero #Agrónomo. Secretario General @crccar. Profesor Asociado @UPCTnoticias Coordinador @Catedratrasjmc. #Regadío #Agua Perfil personal</t>
  </si>
  <si>
    <t>http://es.linkedin.com/in/marianosotogarcia/</t>
  </si>
  <si>
    <t>C.R. Campo Cartagena</t>
  </si>
  <si>
    <t>Cartagena, (Murcia) , Spain</t>
  </si>
  <si>
    <t>Comunidad de Regantes del Campo de Cartagena (C.R.C.C.). https://www.facebook.com/Comunidad-de-Regantes-del-Campo-de-Cartagena-292049261205451/</t>
  </si>
  <si>
    <t>http://www.crcc.es</t>
  </si>
  <si>
    <t>Monty</t>
  </si>
  <si>
    <t>Pablo Casado, el liberal. RT @PPopular: ▶ @pablocasado_: "El agua es un elemento esencial para vivir, progresar y para subsistir. Se debe garantizar una política hídrica justa y nacional".</t>
  </si>
  <si>
    <t>https://twitter.com/PPopular/status/1071398162714132481</t>
  </si>
  <si>
    <t>https://pbs.twimg.com/media/Dt5e8bcVAAAH4Uo.jpg</t>
  </si>
  <si>
    <t>Mira a tu lado. Me ves?</t>
  </si>
  <si>
    <t>Pablo Casado (2018): "No entiendo por qué la gente se lleva las manos a la cabeza por decir que 'vamos hacer en Andalucía lo que hicimos en España'. No lo entiendo" #EleccionesAndalucia2018 #EleccionesAndalucía #pablocasado #PP</t>
  </si>
  <si>
    <t>Fidel</t>
  </si>
  <si>
    <t>En los estudios para máster se salto la clase de lo que es una República. Buena de esa y de todas, total se lo regalarón. La ignorancia de Pablo Casado: no sabe qué es una República  vía @diario_16</t>
  </si>
  <si>
    <t>https://pbs.twimg.com/media/DtkSddUXQAEHCAe.jpg</t>
  </si>
  <si>
    <t>Esclavo de tus palabras, libre de tus pensamientos.</t>
  </si>
  <si>
    <t>Manuel</t>
  </si>
  <si>
    <t>Los problemas de Casado con la caja B del PP antes de Navidad</t>
  </si>
  <si>
    <t>Sabela Martínez</t>
  </si>
  <si>
    <t>Aquí Pablo Iglesias con Maduro felicitándonos la Navidad. #AndaluciaAntifascista #casado #pablocasado #partidopopular #quegobiernelalistamásvotada</t>
  </si>
  <si>
    <t>DE VALLEKAS</t>
  </si>
  <si>
    <t>https://pbs.twimg.com/media/Dtjx_ChW0AAS3VS.jpg</t>
  </si>
  <si>
    <t>elisadocio</t>
  </si>
  <si>
    <t>A filla de Encarna.</t>
  </si>
  <si>
    <t>Palencia. España</t>
  </si>
  <si>
    <t>http://www.elisadocio.com</t>
  </si>
  <si>
    <t>HimarRamirez 🇮🇨</t>
  </si>
  <si>
    <t>Soy el único al que Pablo Casado le recuerda a Dalas Review???????</t>
  </si>
  <si>
    <t>Islas Canarias, África</t>
  </si>
  <si>
    <t>Gran Canaria 🇮🇨 📍 Travel 🌍 🕉</t>
  </si>
  <si>
    <t>La Prima Prado</t>
  </si>
  <si>
    <t>La espada y la cruz castellano viejas de Pablo Casado, como signo de renovación, regu.</t>
  </si>
  <si>
    <t>Portada de Interviu, ciclista y Sex Bomb.</t>
  </si>
  <si>
    <t>Juanjo Glez Tejeda</t>
  </si>
  <si>
    <t>Poner el foco para un etarra es poner una diana sobre Pablo Casado. No es denunciable? @pablocasado_ @VictorCotobal RT @VictorCotobal: El foco hay que ponerlo en los 379 casos de ETA que están sin resolver y en los beneficios penitenciarios a presos terroristas.</t>
  </si>
  <si>
    <t>https://twitter.com/VictorCotobal/status/1071345233579962368
https://www.abc.es/espana/abci-otegi-no-poner-foco-sino-casado-201812051118_video.html</t>
  </si>
  <si>
    <t>Collado Villalba, Madrid</t>
  </si>
  <si>
    <t>Concejal de Festejos, Obras, Protección Civil de Collado Villalba.</t>
  </si>
  <si>
    <t>DRY Madrid</t>
  </si>
  <si>
    <t>Pablo Casado elige como jefe de gabinete al político del PP que tuvo que huir de la Comunidad de Madrid tras las masivas manifestaciones de la Marea Blanca contra su intención de...</t>
  </si>
  <si>
    <t>https://www.eldiario.es/politica/Casado-Lasquetty-hospitales-Madrid-PP_0_843416091.html</t>
  </si>
  <si>
    <t>Noticias del nodo de Democracia real Ya! en Madrid. No somos mercancía en manos de políticos y banqueros. Dormíamos, despertamos. #SíSePuede</t>
  </si>
  <si>
    <t>http://madrid.democraciarealya.es</t>
  </si>
  <si>
    <t>Juan Antonio Parra</t>
  </si>
  <si>
    <t>.@pablocasado_ promete aplicar el 155 a @IKEASpain por declarar la República Independiente de tu Casa.</t>
  </si>
  <si>
    <t>Murcia (Españistán)</t>
  </si>
  <si>
    <t>Aficionado a las buenas músicas del mundo y al baloncesto. Indignado, no. Hasta los huevos... Instagram: @j.parrag</t>
  </si>
  <si>
    <t>Rafael de la Guerra</t>
  </si>
  <si>
    <t>El PP de Casado ya no me interesa lo más mínimo tras el fichaje del político que más daño ha hecho a la Sanidad madrileña en muchos años, pasando por encima de pacientes y médicos. Javier Fernández-Lasquetty, nuevo jefe de gabinete de Pablo Casado. ES INTOLERABLE Y UN PASO ATRÁS</t>
  </si>
  <si>
    <t>Dr. en Medicina. Asturiano. En guerra perpetua contra prepotentes, pusilánimes, jetas, cínicos y caraduras. La vida es más bonita a lomos de mi querido caballo.</t>
  </si>
  <si>
    <t>Jose Rodriguez</t>
  </si>
  <si>
    <t>Esto es lo que harían Santiago Abascal, Pablo Casado, Aznar y muchos otros si no vivieran de lo publico y las prebendas.</t>
  </si>
  <si>
    <t>https://www.publico.es/politica/matanza-atocha-garcia-julia-asesino-falangista-convertido-narco-acabo-conductor-uber.html</t>
  </si>
  <si>
    <t>Oleiros, A Coruña</t>
  </si>
  <si>
    <t>Idealista muy indignado. Jose Saramago, Jose Luis Sampedro y Stephane Hessel me enseñan cada dia</t>
  </si>
  <si>
    <t>http://sosnatureza.wordpress.com/</t>
  </si>
  <si>
    <t>McVay</t>
  </si>
  <si>
    <t>Pienso que hay una competición fratricida entre los tuits de Pablo Casado y los de Rosa Díez. Propongo una terapia de grupo.</t>
  </si>
  <si>
    <t>Cirujano #bataflauta</t>
  </si>
  <si>
    <t>Javier</t>
  </si>
  <si>
    <t>El presidente del PP nacional, Pablo Casado, protagoniza en Murcia, tras la reunión con los regantes, un acto con una importante relevancia política</t>
  </si>
  <si>
    <t>https://www.laverdad.es/murcia/sigue-directo-presentacion-20181208125721-nt.html</t>
  </si>
  <si>
    <t>Carri</t>
  </si>
  <si>
    <t>hoy pablo casado en murcia mmmm</t>
  </si>
  <si>
    <t>Myrtea</t>
  </si>
  <si>
    <t>One of us is lonely. No me pertenece el paisaje, voy sin equipaje por la noche larga.</t>
  </si>
  <si>
    <t>Adela Cañas Fermín</t>
  </si>
  <si>
    <t>Pablo Casado presenta a los candidatos del PP para Murcia, en directo</t>
  </si>
  <si>
    <t>https://ift.tt/2Ea0pvC</t>
  </si>
  <si>
    <t>Gran Canaria</t>
  </si>
  <si>
    <t>En las nubes</t>
  </si>
  <si>
    <t>No hay alivio más grande que comenzar a ser lo que se es</t>
  </si>
  <si>
    <t>Valencia</t>
  </si>
  <si>
    <t>Juanma Lamet</t>
  </si>
  <si>
    <t>Pablo Casado quiere recentralizar la política de agua y consagrar los trasvases, con unas reglas iguales para todos. Adelantamos su propuesta de Pacto Nacional del Agua, que Génova ha pactado con todos los barones territoriales del PP.  vía @elmundoes</t>
  </si>
  <si>
    <t>CanalSurNoticias</t>
  </si>
  <si>
    <t>Sevillano en Madrid</t>
  </si>
  <si>
    <t>Periodista en El Mundo. Cuenta personal. Gasto medio sueldo en discos y conciertos, el resto lo desperdicio.</t>
  </si>
  <si>
    <t>Perfil oficial de los Servicios Informativos de CanalSur.</t>
  </si>
  <si>
    <t>http://www.canalsur.es</t>
  </si>
  <si>
    <t>Cyrano de Bergerac 🗡️</t>
  </si>
  <si>
    <t>David Pérez, Lasquetty... La regeneración del PP de Pablo Casado consiste básicamente en recuperar y fortalecer a los más extremistas de anteriores etapas marcadas por la corrupción, como la del PP de Madrid de la lideresa, que parece que sigue moviendo hilos en la sombra.</t>
  </si>
  <si>
    <t>La Luna</t>
  </si>
  <si>
    <t>Nací en 1619 y en seguida me di cuenta de que la tierra no tenía futuro, por eso viajé a la luna.</t>
  </si>
  <si>
    <t>ADN circular</t>
  </si>
  <si>
    <t>Pablo Casado: "Vamos a hacer en Andalucía lo que hicimos en España". !! Pues apañaos vamos !!</t>
  </si>
  <si>
    <t>Defendiendo la Educación Pública, Laica y Gratuita. Orgulloso de mis 3 brujas (mujeres sabias). Profe de Biología</t>
  </si>
  <si>
    <t>Libertad sin ira</t>
  </si>
  <si>
    <t>MURCIA .Lleno hasta la bandera:Pablo Casado,la gran esperanza del Centro Derecha y Liberal.Murcia,haciendo, más España,con Pablo!</t>
  </si>
  <si>
    <t>Enrique Clemente</t>
  </si>
  <si>
    <t>pic.twitter.com/ZroAaGjpuJ</t>
  </si>
  <si>
    <t>Periodista. Columnista y analista político de La Voz de Galicia. También escribo de libros. Ex Diario 16</t>
  </si>
  <si>
    <t>Pablo Casado: "Es la primera piedra para que el PP vuelva al Gobierno de España" | #PP #politica #noticias #Gobierno #Politica #España #Espana #Casado #PabloCasado &gt;</t>
  </si>
  <si>
    <t>https://pbs.twimg.com/media/Dtc1AqwXQAAr40N.jpg</t>
  </si>
  <si>
    <t>https://ift.tt/2G1HEwO</t>
  </si>
  <si>
    <t>PP Comunidad de Madrid</t>
  </si>
  <si>
    <t>Titulares 24 horas</t>
  </si>
  <si>
    <t>Comunidad de Madrid, España</t>
  </si>
  <si>
    <t>Somos el partido preferido de los madrileños. En este proyecto tú eres el protagonista 📮 participa@ppmadrid.es</t>
  </si>
  <si>
    <t>Noticias las 24 horas del dia</t>
  </si>
  <si>
    <t>http://www.ppmadrid.es</t>
  </si>
  <si>
    <t>¿Cómo se glosará la personalidad de Pablo Casado?  Esto es lo que el líder del PP prefiere que se diga de él cuando pase el tiempo. Por @estherpalomera</t>
  </si>
  <si>
    <t>https://www.huffingtonpost.es/esther-palomera/que-diran-de-ellos-cuando-ya-no-esten_a_23611994/?utm_hp_ref=es-homepage</t>
  </si>
  <si>
    <t>👤</t>
  </si>
  <si>
    <t>El Mundo España</t>
  </si>
  <si>
    <t>Comunidad Valenciana, España</t>
  </si>
  <si>
    <t>Sección 'España' del diario El Mundo. #EleccionesGenerales #Politica #Tribunales #Seguridad #CasaReal #Partidos #Debate #Corrupcion #UltimaHora</t>
  </si>
  <si>
    <t>http://www.elmundo.es/espana.html</t>
  </si>
  <si>
    <t>AbiertoPP</t>
  </si>
  <si>
    <t>https://ift.tt/2UpPTpz</t>
  </si>
  <si>
    <t>Iniciativa inspirada en los valores del #GobiernoAbierto para conseguir un @PPopular mas abierto a la sociedad #AbiertoPP</t>
  </si>
  <si>
    <t>https://abiertopp.es/</t>
  </si>
  <si>
    <t>Jaime Arizabaleta</t>
  </si>
  <si>
    <t>Que duro seria elegir entre Pablo Casado y Albert Rivera como Presidente de Gobierno de España. Aunque es un gana y gana yo definiría por Casado, es más contundente con sus argumentos.</t>
  </si>
  <si>
    <t>Barcelona, Catalunya</t>
  </si>
  <si>
    <t>Cali, Colombia</t>
  </si>
  <si>
    <t>"No pelea el número sino el ánimo, no vencen los muchos sino los valientes"</t>
  </si>
  <si>
    <t>http://www.centrodemocratico.com</t>
  </si>
  <si>
    <t>George Kaplan</t>
  </si>
  <si>
    <t>Llegar a la plaza de la Catedral y que esté Pablo Casado con su séquito. Vaya forma de joder el momento.</t>
  </si>
  <si>
    <t>Alicante - Murcia</t>
  </si>
  <si>
    <t>«¿A qué huele esta habitación? ¿No lo has notado, Brick? ¿No has notado el fuerte y repelente olor a mendacidad que​ hay en esta habitación?»</t>
  </si>
  <si>
    <t>Better Call Saul🇺🇸</t>
  </si>
  <si>
    <t>S.C.R.A.T.S</t>
  </si>
  <si>
    <t>Reunión en la Sede del SCRATS, con el Presidente del Partido Popular Pablo Casado y la Junta de Gobierno de esta Corporación.</t>
  </si>
  <si>
    <t>https://pbs.twimg.com/media/Dt5BhBZXQAApffE.jpg</t>
  </si>
  <si>
    <t>🔄 Loading status... Soy una persona humana no una persona robot. +18 cm.</t>
  </si>
  <si>
    <t>Murcia, Spain</t>
  </si>
  <si>
    <t>A través de este perfil, pretendemos dar a conocer la historia del trasvase Tajo Segura y su contribución al desarrollo económico y social de España.</t>
  </si>
  <si>
    <t>http://www.scrats.es</t>
  </si>
  <si>
    <t>Pedro Merino</t>
  </si>
  <si>
    <t>#Republica Pablo Casado, en su ignorancia, vuelve a meter la pata al asemejar la República con un régimen no democrático, debería estudiar un poco y callarse cuando no sabe de qué está hablando…</t>
  </si>
  <si>
    <t>https://pbs.twimg.com/media/Dt5BNARWsAAfKcO.jpg</t>
  </si>
  <si>
    <t>Málaga, España</t>
  </si>
  <si>
    <t>Jubilado en activo para el pensamiento socialista y la libertad de expresión en Twitter y Facebook</t>
  </si>
  <si>
    <t>Chris Candidovsky 🇩🇪</t>
  </si>
  <si>
    <t>⚡𝖋𝖚𝖊𝖓 𝖒𝖎𝖑𝖑𝖊𝖗⚡not ready for endgame</t>
  </si>
  <si>
    <t>mala suerte es que mi hermana salga por murcia y se encuentre a maría valero y que yo haciendo lo mismo me encuentre a pablo casado xdddd</t>
  </si>
  <si>
    <t>Hamburg, Deutschland</t>
  </si>
  <si>
    <t>Schriftsteller &amp; Kreativabteilung 👨🏻‍💻⌨️📝 „Dinge sind nur so lange unmöglich, bis sie es nicht mehr sind“ (Jean Luc Picard)</t>
  </si>
  <si>
    <t>Красная комната</t>
  </si>
  <si>
    <t>🦇 𝔦'𝔪 𝔥𝔢𝔯𝔢 𝔣𝔬𝔯 𝔱𝔥𝔢 𝔠𝔲𝔩𝔱 𝔰𝔱𝔲𝔣𝔣 🎬 veo series y pelis 📺 •𝘴𝘦𝘴𝘵𝘳𝘢• 𝐬𝐡𝐞'𝐬 𝐧𝐨𝐭 𝐚𝐥𝐨𝐧𝐞 ♀️🏳️‍🌈</t>
  </si>
  <si>
    <t>https://letterboxd.com/fuenhurtado/</t>
  </si>
  <si>
    <t>jose carlos lorenzo</t>
  </si>
  <si>
    <t>El presidente del PP, Pablo Casado, ha pedido este viernes a Pedro Sánchez que “deje en paz” la Constitución porque no puede reformarse en este momento con...</t>
  </si>
  <si>
    <t>https://okdiario.com/espana/2018/12/07/casado-pide-sanchez-que-deje-paz-constitucion-que-esta-cayendo-cataluna-3440919</t>
  </si>
  <si>
    <t>Luis Suarez</t>
  </si>
  <si>
    <t>"Dos tontos muy tontos" Escrita y dirigida por Pablo Casado y Pedro Sánchez RT @WyomingAgain: Poned título a esta payasada</t>
  </si>
  <si>
    <t>Xavier Olivella LLIBERTAT🎗</t>
  </si>
  <si>
    <t>https://twitter.com/WyomingAgain/status/1070803140348387328</t>
  </si>
  <si>
    <t>https://pbs.twimg.com/media/DtxBxtmW0AA_D0L.jpg</t>
  </si>
  <si>
    <t>SANT CUGAT</t>
  </si>
  <si>
    <t>Arquitecte Fundador ARQUITECTES x CATALUNYA Fundador Fundació CATALUNYA ESTAT Crida Nacional x la República primera executiva CCN</t>
  </si>
  <si>
    <t>Vigo, España</t>
  </si>
  <si>
    <t>Padre de Nerea, casado con una madre heroina, del CELTA y Vice de la peña celtista @afouteza</t>
  </si>
  <si>
    <t>http://www.cossat.com</t>
  </si>
  <si>
    <t>El líder del PP, Pablo Casado, quiere fijar los grandes temas del partido: unidad, libertad, familia "Estamos como una moto", dijo el presidente de los...</t>
  </si>
  <si>
    <t>https://okdiario.com/espana/2018/12/08/casado-marca-tactica-barones-discurso-nacional-tolerancia-cero-corrupcion-3423485</t>
  </si>
  <si>
    <t>Luis Javier Sanjuan</t>
  </si>
  <si>
    <t>"Debería Pablo Casado estudiar un poco, callarse cuando no se sabe de qué se está hablando, los dirigentes políticos deben ser también pedagogos e inoculadores de valores democráticos y republicanos" Lógico que no sepa qué habla, le regalaron los títulos🤯</t>
  </si>
  <si>
    <t>Catalán y jubilado. Me siento socialista y lo intento llevar a cabo. Como podréis observar la orquídea ha crecido y florecido, los socialistas igual.</t>
  </si>
  <si>
    <t>Paquita</t>
  </si>
  <si>
    <t>Estamos de acuerdo contigo Pablo Casado.  RT @EspanaconPablo: Buenos días, gente de bien 🇪🇸 Nosotros nos unimos ¿y tú? 👇🏻 @pablocasado_ acusa a Sánchez de "cómplice" de la "kale borroka independentista" por no aplicar el 1️⃣5️⃣5️⃣</t>
  </si>
  <si>
    <t>https://bit.ly/2QmgLZm
https://twitter.com/EspanaconPablo/status/1071323355775729664</t>
  </si>
  <si>
    <t>The Daily Sketch</t>
  </si>
  <si>
    <t>Los servicios de inteligencia de Estados Unidos le ofrecen a Pablo Casado un puesto en la CIA.</t>
  </si>
  <si>
    <t>http://www.theportadanews.com/2018/08/07/casado-master/</t>
  </si>
  <si>
    <t>Hasbara and other trolls will be blocked immediately.</t>
  </si>
  <si>
    <t>http://dailysketcher.blogspot.com/</t>
  </si>
  <si>
    <t>Javier Sánchez Serna</t>
  </si>
  <si>
    <t>Si el “auxilio” a l@s murcian@s es Pablo Casado y más PP, abandonemos toda esperanza... Sus 22 años de Gobierno nos han convertido en una región muy desigual y alejada del resto del país. El único auxilio posible es echarlos 👉🚪</t>
  </si>
  <si>
    <t>https://www.laopiniondemurcia.es/comunidad/2018/12/07/lopez-miras-afirma-casado-viene/978782.html</t>
  </si>
  <si>
    <t>Diputado murciano de @ahorapodemos en el Congreso. Portavoz en la Comisión de Educación #LomceNo. No nacimos para resistir, nacimos para vencer ✊🏻</t>
  </si>
  <si>
    <t>https://www.facebook.com/JavierSanchezSernaEducacion</t>
  </si>
  <si>
    <t>con Niche🎗🇩🇪🇧🇪🏴󠁧󠁢󠁳󠁣󠁴󠁿🇨🇭</t>
  </si>
  <si>
    <t>Ahora entiendo la devoción de Pablo Casado por Vox ... (Dentro vídeo) "...si es que son unos carcas, todo el día están que si ¡la guerra que ganó el abuelo!, que si ¡no a la exhumación de no se qué!, que si ¡el corralito que nos dejó el abuelo!"</t>
  </si>
  <si>
    <t>https://youtu.be/3I6uSboAxhE</t>
  </si>
  <si>
    <t>Falanghipsterlandia, España</t>
  </si>
  <si>
    <t>Primero fui 'con Rubalcaba'. Grave error. Había que ir más allá. Nació así, 'con Niche'.</t>
  </si>
  <si>
    <t>Samurob1</t>
  </si>
  <si>
    <t>Otra reflexión de tu cosecha Pablo Casado: la Constitución es un muro.... ", haber no fue muro para tanta corrupción de tu querido PP. Por favor va siendo hora q te vayas a trabajar y antes a estudiar porq lo de tu" master"se comprueba día a día q nada de na!</t>
  </si>
  <si>
    <t>@robergonpane</t>
  </si>
  <si>
    <t>Uno de los personajes más lamentables de la política madrileña es lo que el PP de Pablo Casado considera el ejemplo a seguir. Si el alcalde de Alcorcón es lo que ofrece el PP para contrarrestar el auge de VOX, vamos a escuchar muchas barbaridades perversas en los próximos meses. RT @eldiarioes: Casado rescata a David Pérez, el alcalde desautorizado por Cifuentes que cargó contra las feministas  Lo cuenta @Sofi_pm</t>
  </si>
  <si>
    <t>https://twitter.com/eldiarioes/status/1071339350590410752
https://www.eldiario.es/madrid/PP-Casado-David-Perez-Cifuentes_0_843765759.html</t>
  </si>
  <si>
    <t>https://pbs.twimg.com/media/Dt4lGSWXQAAHRfa.jpg</t>
  </si>
  <si>
    <t>Estudié una ingeniería de altos vuelos para tener los pies bien pegados al suelo y ver el Mundo con perspectiva pero sin descuidar los detalles.</t>
  </si>
  <si>
    <t>http://www.noeslomismo.org</t>
  </si>
  <si>
    <t>elnortedecastilla.es</t>
  </si>
  <si>
    <t>Los momentos de mayor crecimiento coincidieron con el referéndum en Cataluña, la moción de censura y la elección de Pablo Casado como líder del PP</t>
  </si>
  <si>
    <t>http://ow.ly/YuNR30mUajV</t>
  </si>
  <si>
    <t>Cuenta oficial del periódico El Norte de Castilla, líder en Castilla y León y Valladolid. Somos el decano de la prensa diaria española. Contigo desde 1854.</t>
  </si>
  <si>
    <t>http://www.elnortedecastilla.es/</t>
  </si>
  <si>
    <t>PEDRO SAEZ-VOLTETAS</t>
  </si>
  <si>
    <t>JonRa</t>
  </si>
  <si>
    <t>Pablo Casado dice que es del centro derecha</t>
  </si>
  <si>
    <t>pic.twitter.com/QFjJrg0g5z</t>
  </si>
  <si>
    <t>Eibar, EH || Sopela, EH</t>
  </si>
  <si>
    <t>Ikasitakoa desikasten ikasi</t>
  </si>
  <si>
    <t>Joanna Bielicka</t>
  </si>
  <si>
    <t>La ignorancia de Pablo Casado: no sabe qué es una República  vía @diario_16</t>
  </si>
  <si>
    <t>PortPartes🙋🏻‍♀️💜🏞️</t>
  </si>
  <si>
    <t>Julian Alberto Vivar</t>
  </si>
  <si>
    <t>Y este borrico quiere gobernarnos.</t>
  </si>
  <si>
    <t>Articulista, cronista político-social</t>
  </si>
  <si>
    <t>El CGPJ reclama a Estado y Generalitat un plan de protección de jueces en Catalunya.Por vergüenza y prudencia,me abstengo de emitir una opinión...Hasta dónde hemos llevado, a la Nación..Quo Vadis?? Única esperanza: El Centro Derecha Liberal :PABLO CASADO!</t>
  </si>
  <si>
    <t>https://www.lavanguardia.com/politica/20181207/453411977242/poder-judicial-reclama-estado-generalitat-plan-proteccion-jueces-cataluna.html</t>
  </si>
  <si>
    <t>Victør Hurtadø</t>
  </si>
  <si>
    <t>¿Os dais cuenta que Pablo Casado no quiere aplicar el 155 sino montar una dictadura en Cataluña? RT @pablocasado_: El Gobierno tiene que frenar la kale borroka en Cataluña y poner orden, no respetan ni a los mossos cuando cumplen con su obligación. Cataluña está fuera de sí y el Gobierno de España, cómplice por inacción e incapacidad, no controla la situación.</t>
  </si>
  <si>
    <t>https://twitter.com/pablocasado_/status/1071038887114539014</t>
  </si>
  <si>
    <t>pic.twitter.com/Vs551K2eiQ</t>
  </si>
  <si>
    <t>En la mierda.</t>
  </si>
  <si>
    <t>Algo nuevo, algo aún por descubrir, algo dentro de mí, dentro de mí. Cuánto tiempo he perdido ahí afuera, cuánto por descubrir en mi cabeza. DISEÑADOR GRÁFICO.</t>
  </si>
  <si>
    <t>https://Instagram.com/_victor_hurtado/</t>
  </si>
  <si>
    <t>Rafael Moreno Segura</t>
  </si>
  <si>
    <t>Huévar del Aljarafe</t>
  </si>
  <si>
    <t>Socialista Sevillano. Nunca mucho costó poco(Séneca)</t>
  </si>
  <si>
    <t>Asamblea de Majaras</t>
  </si>
  <si>
    <t>En las colas del paro mucha rabia contra la monarquía... Si el jefe del estado fuese Pablo Casado todo nos iría de perlas 😈 RT @agarzon: El 48% de los españoles prefiere la República frente al 35% que prefiere la Monarquía. Quizás esta es la razón por la que el CIS no pregunta por la valoración de la monarquía desde hace cuatro años (a pesar de la promesa del PSOE para cambiarlo)</t>
  </si>
  <si>
    <t>https://twitter.com/agarzon/status/1071116920852746240
https://m.huffingtonpost.es/amp/2018/12/05/el-48-de-los-espanoles-prefiere-que-espana-sea-una-republica_a_23609576/</t>
  </si>
  <si>
    <t>NO PERMITAS QUE DECIDAN POR TI</t>
  </si>
  <si>
    <t>http://asambleademajaras.com</t>
  </si>
  <si>
    <t>luis alonso mancera</t>
  </si>
  <si>
    <t>El qué intento destrozar la Sanidad pública madrileña ha sido fichado por Pablo Casado del partido popular. Por sus actos les conocemos.</t>
  </si>
  <si>
    <t>https://m.eldiario.es/politica/Casado-Javier-Lasquetty-Aguirre-Gabinete_0_843415739.html</t>
  </si>
  <si>
    <t>Padre de Nico, hijo de Jaime, padre de Jaime. Responsable de CCOO en Hospital Ramón y Cajal.</t>
  </si>
  <si>
    <t>Rossina</t>
  </si>
  <si>
    <t>Roja, de convicciones fuertes, Igualitaria.</t>
  </si>
  <si>
    <t>UGT MADRID SUROESTE</t>
  </si>
  <si>
    <t>Cosidó, Fernández Díaz, el chófer de Bárcenas y la mujer del tesorero desfilarán este mes por el Congreso para explicar la red de espionaje de Villarejo. El Podrido Popular de Casado sigue su línea regeneradora 😂😂😂. #Casado #PP #Corrupción #Kitchen</t>
  </si>
  <si>
    <t>Huesca 2, Parque del Teide 3</t>
  </si>
  <si>
    <t>Organización Sindical en defensa de la Clase Trabajadora. Facebook: Comarca Suroeste UGT Madrid Instagram: suroeste_ugt Youtube: http://goo.gl/2MlNRt</t>
  </si>
  <si>
    <t>Jordi Rengel</t>
  </si>
  <si>
    <t>El desorden lo provoca su partido,el PP, condenado por corrupción y crispador activo de malestar en la sociedad. @lesoir @bbc @afpfr @BILD @DerSPIEGEL @tijd @AP Pablo Casado pide a Pedro Sánchez que ponga orden en Catalunya y aplique el 155 @lavanguardia</t>
  </si>
  <si>
    <t>Ourense, España</t>
  </si>
  <si>
    <t>CAP LA MINA</t>
  </si>
  <si>
    <t>Treball social sanitari; Trabajo social; Social worker; Trebaill sociaux; Laboro sociale! !</t>
  </si>
  <si>
    <t>https://www.libertaddigital.com/espana/politica/2018-11-29/pablo-casado-esta-campana-es-importante-no-solo-para-andalucia-sino-para-echar-a-sanchez-de-moncloa-1276629056/</t>
  </si>
  <si>
    <t>Laia</t>
  </si>
  <si>
    <t>Pablo Casado pide a Pedro Sánchez que ponga orden en Catalunya y aplique el 155 @lavanguardia</t>
  </si>
  <si>
    <t>Luis456riveragomez@gmail.com</t>
  </si>
  <si>
    <t>Pero no es porque se rodeara de ladrones,es por su necesidad de protagonismo y se ha puesto a atacar a don Santiago Abascal,que es la moda nacional y yo le demuestro a Esperanza Aguirre,que Pablo Casado,no sirve,Rajoy y pandilla,deben ser encarcelados.</t>
  </si>
  <si>
    <t>Vicente Arias</t>
  </si>
  <si>
    <t>Más que preocupante que Pablo Casado esté fichando a la gente que más empeño puso en cargarse todo lo público para hacer un miserable negócio vendiendo nuestra sanidad y educación al mejor postor. Aparte Lasquetty es un cobarde y un miserable. RT @ikaitor: Pablo Casado repesca a Lasquetty, el aznarista y aguirrista que privatizó hospitales en Madrid y que huyó ante el empuje de la Marea Blanca</t>
  </si>
  <si>
    <t>https://twitter.com/ikaitor/status/1070988389674041344
https://www.eldiario.es/_3245821b</t>
  </si>
  <si>
    <t>Galiza</t>
  </si>
  <si>
    <t>Benjamin Franklin: “la felicidad humana no se logra con grandes golpes de suerte, que pueden ocurrir pocas veces en la vida, sino con pequeñas cosas que ocurren</t>
  </si>
  <si>
    <t>Ramón Triviño Barros</t>
  </si>
  <si>
    <t>#laqueseavecina El diputado regional y alcalde de Alcorcón desde 2011 asegura que está "especialmente ilusionado con el proyecto de Pablo Casado"  vía @eldiario_Madrid</t>
  </si>
  <si>
    <t>https://www.eldiario.es/_324ad7ff</t>
  </si>
  <si>
    <t>Periodista y activista. Creo que el futuro está en nuestras manos. Retuitear no es compartir. Blogs en: http://puntoyapartert.blogspot.com.es/ y https://bit.ly/2FdPxyV</t>
  </si>
  <si>
    <t>http://plus.google.com/+RamónTriviñoBarros</t>
  </si>
  <si>
    <t>El Plural</t>
  </si>
  <si>
    <t>Albert Rivera y Pablo Casado no quieren escuchar la confesión de un fundador de Vox</t>
  </si>
  <si>
    <t>https://goo.gl/ni3XGd</t>
  </si>
  <si>
    <t>La actualidad #política que estabas buscando. ¡Bienvenido a #ElPlural! También estamos en Facebook: https://es-es.facebook.com/elpluralcom/</t>
  </si>
  <si>
    <t>http://www.elplural.com</t>
  </si>
  <si>
    <t>https://elpais.com/elpais/2018/11/27/opinion/1543338114_802677.html</t>
  </si>
  <si>
    <t>Paz🌹 Guerra 🌹‏</t>
  </si>
  <si>
    <t>ALICANTE</t>
  </si>
  <si>
    <t>💞🍁No es mas rico el que mas tiene,es el que menos necesita💞🍁</t>
  </si>
  <si>
    <t>Miguel Castro Castro</t>
  </si>
  <si>
    <t>LUGO</t>
  </si>
  <si>
    <t>Ex interventor en ruta de RENFE. Ex sindicalista U. G. T. De los que nuncan se callan. antes Vigo, Orense, Vigo ahora LUGO. #SemprePSOE</t>
  </si>
  <si>
    <t>javier</t>
  </si>
  <si>
    <t>Pablo Casado, deja de pedir que se aplique el 155 y procura que se apliquen estos.........elemento!!</t>
  </si>
  <si>
    <t>https://pbs.twimg.com/media/Dt3xnV3XcAAsNWb.jpg</t>
  </si>
  <si>
    <t>Navarra, Comunidad Foral de Na</t>
  </si>
  <si>
    <t>No pierdo el tiempo discutiendo con fascistas.FUERA CORRUPTOS DE LAS INSTITUCIONES. Solo aspiro a parecerme a la voz de mi conciencia....😇</t>
  </si>
  <si>
    <t>Catalunya</t>
  </si>
  <si>
    <t>Medellín, Colombia</t>
  </si>
  <si>
    <t>Pablo Casado aprobó de golpe media carrera el curso que logró el escaño  El portavoz del PP superó 12 materias de las 25 de Derecho y logró el título en apenas cuatro meses tras ser elegido diputado madrileño en 2007. Profesores del Cardenal Cisneros, do…</t>
  </si>
  <si>
    <t>https://ift.tt/2PpQCDn</t>
  </si>
  <si>
    <t>Abogados en barrio Corazón de Jesús, Medellin, Antioquia llama 320 542-9469 http://abogadosmedellin.mobi/el-castillo-el-poblado-medellin-abogados http://abogadosmedellin.mobi/el-diamante-n-o-2-el-poblado-medellin-abogados http://abogadosmedellin.mobi/el-compromiso-popular-la-comuna-1-medellin-abogados</t>
  </si>
  <si>
    <t>http://abogadosmedellin.mobi/el-castillo-el-poblado-medellin-abogados</t>
  </si>
  <si>
    <t>El Tesoro Parque Comercial, Medellín Abogados</t>
  </si>
  <si>
    <t>El Tesoro Parque Comercial, Medellín Abogados llama 320 542-9469 🇨🇴 #Medellin https://plus.google.com/116457902618428999211/posts/ZoSE3Zu6iUj http://youtu.be/9dLqbelC0oc?a https://twitter.com/i/moments/993113650352279552</t>
  </si>
  <si>
    <t>https://twitter.com/i/moments/993113650352279552</t>
  </si>
  <si>
    <t>Mario Sánchez V.</t>
  </si>
  <si>
    <t>Rosa Montero: "Pablo Casado es peligroso, reaccionario y nunca aprenderá nada del feminismo"  vía @elespanolcom</t>
  </si>
  <si>
    <t>https://www.elespanol.com/cultura/libros/20181031/rosa-montero-pablo-casado-reaccionario-aprendera-feminismo/349466137_0.html</t>
  </si>
  <si>
    <t>Medellín - Colombia</t>
  </si>
  <si>
    <t>Teatrero egresado @artesudea y descubridor de dramaturgistas en @udeaoriente/ Director MADRIGUERA TEATRO-Universidad @EAFIT/ Especialización Dramaturgia IUNA 🎭</t>
  </si>
  <si>
    <t>http://teatropos.blogspot.com</t>
  </si>
  <si>
    <t>Miguel Angel Martín</t>
  </si>
  <si>
    <t>#Lasquetty, nuevo fichaje de #Casado. Le "adorna" el intento fracasado de privatizar la sanidad pública madrileña y ser un alumno aventajado de #Aguirre y ya sabemos q quien rodea a esta, suele estar sucio. #Pablo no sabemos si ensucia, pero como #Mariano... limpiar no limpia</t>
  </si>
  <si>
    <t>Inquieto y activo ciudadano de ideas socialdemócratas,que procura un mundo mas justo,humano y equitativo.Militante del PSOE y afiliado a CCOO</t>
  </si>
  <si>
    <t>SomosLegion</t>
  </si>
  <si>
    <t>En Nuestra Plaza: Los servicios de inteligencia de Estados Unidos le ofrecen a Pablo Casado un puesto en la CIA</t>
  </si>
  <si>
    <t>https://ift.tt/2G4PDsZ</t>
  </si>
  <si>
    <t>Pablo Casado, adelantó que "seguirá pidiendo un Gibraltar español" tras el fracaso histórico de Sánchez en la negociación del Brexit  @_Contrainfo #TratadoUtrech #ConflictoGibraltarEspaña #DerechoDeAutodeterminación #Brexit</t>
  </si>
  <si>
    <t>https://contrainformacion.es/tratado-de-utrecht-dos/</t>
  </si>
  <si>
    <t>jose antonio gomez s</t>
  </si>
  <si>
    <t>https://www.elconfidencialdigital.com/articulo/politica/pablo-casado-prepara-limpia-pp-aprovechando-derrotas-autonomicas/20181127191603118694.html</t>
  </si>
  <si>
    <t>VKRipense✊M.Rajoy</t>
  </si>
  <si>
    <t>Republicano y convencido de q otro mundo es posible y un mañana mejor para nuestros hijos</t>
  </si>
  <si>
    <t>https://www.facebook.com/groups/188327201920251/</t>
  </si>
  <si>
    <t>sapabla</t>
  </si>
  <si>
    <t>Licenciado en Ciencias de la Información.Técnico administración local, experto en movimientos sociales, cultura populat, nueva ciudadania(inmigración).</t>
  </si>
  <si>
    <t>http://www.convivenciaysolidaridad.blogspot.com</t>
  </si>
  <si>
    <t>Pablo ©.</t>
  </si>
  <si>
    <t>Feliz dia de la Constitucion</t>
  </si>
  <si>
    <t>Guadalajara.</t>
  </si>
  <si>
    <t>Guadalajara. VIVA EL REY</t>
  </si>
  <si>
    <t>http://Instagram.com/pablocasado_14</t>
  </si>
  <si>
    <t>Me encantan que haya homosexuales en este país</t>
  </si>
  <si>
    <t>Teresa Coll</t>
  </si>
  <si>
    <t>La vuelta de Fernández - Lasquetty a la política de la mano de Pablo Casado, quiere decir que el PP va por el buen camino.</t>
  </si>
  <si>
    <t>Asturias</t>
  </si>
  <si>
    <t>Católica, Monárquica, de derechas y del R. Madrid.</t>
  </si>
  <si>
    <t>Galicia</t>
  </si>
  <si>
    <t>#Política: Pablo Casado ha pedido a Pedro Sánchez que "ponga orden en #Cataluña"  vía @mundiario</t>
  </si>
  <si>
    <t>https://www.mundiario.com/articulo/politica/pablo-casado-apunta-pedro-sanchez-situacion-cataluna/20181207212354140100.html</t>
  </si>
  <si>
    <t>Desde A Coruña (Ñ, UE)</t>
  </si>
  <si>
    <t>Twitter de Galicia, Mundiario de la Eurorregión con el norte de Portugal.</t>
  </si>
  <si>
    <t>https://www.mundiario.com/seccion/galicia</t>
  </si>
  <si>
    <t>Fernando</t>
  </si>
  <si>
    <t>madrid</t>
  </si>
  <si>
    <t>No me gusta, las injusticias,soy de izquierdas.Por un mundo donde todos/as tengamos cabida.</t>
  </si>
  <si>
    <t>Nostradamus</t>
  </si>
  <si>
    <t>juan garcia ramirez</t>
  </si>
  <si>
    <t>Una familiar de Pablo Casado llega al TSJ valenciano  vía @confijudicial</t>
  </si>
  <si>
    <t>https://judicial.elconfidencialdigital.com/articulo/altos_tribunales/familiar-pablo-casado-llega-tsj-valenciano/20181204181329001862.html</t>
  </si>
  <si>
    <t>Con KALERGI EUROPA será EURO.......</t>
  </si>
  <si>
    <t>😡😡😡🤤💤💤💤👹😽🙌🙌🙌☠️☠️☠️</t>
  </si>
  <si>
    <t>Salvador Escalona</t>
  </si>
  <si>
    <t>NACIDOS PARA CREER de Amaia Montero, por Pablo Casado - PARODIA</t>
  </si>
  <si>
    <t>http://youtu.be/Vq30nSL6ypc?a</t>
  </si>
  <si>
    <t>Málaga</t>
  </si>
  <si>
    <t>Creador AudioVisual</t>
  </si>
  <si>
    <t>http://www.salvadorescalona.es</t>
  </si>
  <si>
    <t>Pepita Jimenez</t>
  </si>
  <si>
    <t>Barcelona, España</t>
  </si>
  <si>
    <t>Mercedes Mosquera</t>
  </si>
  <si>
    <t>"El problema de Rufián es que tiene complejo de charnego. Sobreactúa para que le perdonen el no tener ocho apellidos catalanes" "España es el país con más políticos idiotas por metro cuadrado". Carga contra todos, excepto Albert Rivera y Pablo Casado.</t>
  </si>
  <si>
    <t>https://www.huffingtonpost.es/2018/12/07/el-dardo-de-bertin-osborne-a-gabriel-rufian-y-pablo-iglesias-espana-es-el-pais-con-mas-politicos-idiotas-por-metro-cuadrado_a_23611885/?ncid=other_twitter_cooo9wqtham&amp;utm_campaign=share_twitter</t>
  </si>
  <si>
    <t>A Coruña, Galicia, España</t>
  </si>
  <si>
    <t>Especialista Universitaria en Protocolo, Comunicación e Imagen Corporativa. Una asturiana ESFP [Extrovertida, Sensorial, Emocional (Feeling), Perceptiva]</t>
  </si>
  <si>
    <t>https://m.facebook.com/?_rdr#!/mercedes.mosquerabango.7?ref=bookmark</t>
  </si>
  <si>
    <t>Judith Arroyo</t>
  </si>
  <si>
    <t>Habría que preguntarle a Pablo Casado qué nacionalismo es el que no excluye. Porque yo no conozco ninguno. RT @24h_tve: #40AñosdeConstitución Pablo Casado (PP): "Hoy es un día muy especial para todos. Nuestra Constitución está en plena forma y es el mejor muro de contención contra los enemigos de la libertad, los nacionalismos excluyentes y el populismo" #40ConstituciónRTVE</t>
  </si>
  <si>
    <t>https://twitter.com/24h_tve/status/1070628872515809281</t>
  </si>
  <si>
    <t>https://pbs.twimg.com/media/DtujRuCU0AAdl3J.jpg</t>
  </si>
  <si>
    <t>Soria, España</t>
  </si>
  <si>
    <t>Periodista - estudiando en la UCM. Me interesa la comunicación política. Aprendí en @CadenaSERSoria . Me puedes encontrar en @Paradigma_MAD Madrid ♡</t>
  </si>
  <si>
    <t>http://paradigmadeactualidad.wordpress.com</t>
  </si>
  <si>
    <t>vikingo</t>
  </si>
  <si>
    <t>"Fracaso histórico de Sánchez; el PP regresa sin complejos" Pablo Casado  vía @YouTube</t>
  </si>
  <si>
    <t>https://youtu.be/YyvrZlrtZgQ</t>
  </si>
  <si>
    <t>Torremolinos, España</t>
  </si>
  <si>
    <t>http://page.is/larevuelo53</t>
  </si>
  <si>
    <t>PP de Valdemoro</t>
  </si>
  <si>
    <t>Twitter oficial del Partido Popular de Valdemoro.</t>
  </si>
  <si>
    <t>http://www.ppvaldemoro.es</t>
  </si>
  <si>
    <t>Jacinto Gutiérrez</t>
  </si>
  <si>
    <t>Éste se creerá que para robar basta con ser un burracón.</t>
  </si>
  <si>
    <t>Sevilla, España</t>
  </si>
  <si>
    <t>Narrador gráfico nacido entre la linotipia y el offset, que anda entre tipos duros y grotescos, y negritas de hermosas curvas que se expresan con claridad.</t>
  </si>
  <si>
    <t>http://discupasitemolesto.wordpress.com/</t>
  </si>
  <si>
    <t>✴MaRiHt✴ ❤💛💜</t>
  </si>
  <si>
    <t>La magia está en todo aquello que no esperamos que suceda y sucede, en todo aquello que no era y de repente, es. UNIDOS PODEMOS.¯\_(ツ)_/¯</t>
  </si>
  <si>
    <t>The Portada News</t>
  </si>
  <si>
    <t>The Portada News es un periódico satírico cuyo único fin es el entretenimiento y la crítica social a través de una visión relativamente distorsionada.</t>
  </si>
  <si>
    <t>http://www.theportadanews.com</t>
  </si>
  <si>
    <t>SÍSEPUEDE</t>
  </si>
  <si>
    <t>El PP con estos fichajes incluso dan más miedo que Vox...vaya tela Pablo Casado ficha como jefe de Gabinete a Javier Lasquetty, privatizador de la sanidad y hombre de Aznar y Aguirre  vía @eldiarioes</t>
  </si>
  <si>
    <t>https://www.eldiario.es/_324580bb</t>
  </si>
  <si>
    <t>Harto de puchi Matrix</t>
  </si>
  <si>
    <t>El dardo de Bertín Osborne a Gabriel Rufián y Pablo Iglesias: "España es el país con más políticos idiotas por metro cuadrado". El presentador de Telecinco carga contra todos, excepto Albert Rivera y Pablo Casado. #LaSilenciosaCat</t>
  </si>
  <si>
    <t>https://www.huffingtonpost.es/2018/12/07/el-dardo-de-bertin-osborne-a-gabriel-rufian-y-pablo-iglesias-espana-es-el-pais-con-mas-politicos-idiotas-por-metro-cuadrado_a_23611885/</t>
  </si>
  <si>
    <t>Tabarnia, España</t>
  </si>
  <si>
    <t>Para Göbbels, «una mentira repetida mil veces se convierte en una verdad» Llevan años haciendolo. Paremos la hemoragia economica y salvemos España.</t>
  </si>
  <si>
    <t>https://www.lasilenciosacat.org</t>
  </si>
  <si>
    <t>Ana Mª P. L.</t>
  </si>
  <si>
    <t>Socialista, seguidora y colaboradora de algunas ONGS, no soporto a los hipócritas. Aficiones: leer, pintar, oír música. LO MEJOR MI HIJO.</t>
  </si>
  <si>
    <t>JCCruz</t>
  </si>
  <si>
    <t>Pablo Casado sobre la reforma de la Constitución:“Si abrimos ese proceso tendremos la ruptura del sistema político,abriremos las puertas a quienes pretenden la República,tendremos la inestabilidad del sistema democrático”.El filósofo del derecho dice esto y no se pone ni colorado</t>
  </si>
  <si>
    <t xml:space="preserve">Portugalete, Euskadi, España </t>
  </si>
  <si>
    <t>Mi patria empieza en mi y acaba en ninguna parte.</t>
  </si>
  <si>
    <t>Miguel Guerrero</t>
  </si>
  <si>
    <t>Ciudad del Betis</t>
  </si>
  <si>
    <t>En este campo estuvo el mar, alguna vez volverá.</t>
  </si>
  <si>
    <t>Jesuspedreira</t>
  </si>
  <si>
    <t>Los problemas de Casado con la caja B del PP antes de Navidad. . ¿El motivo? La citación en el seno de la comisión de investigación de la caja B del PP.</t>
  </si>
  <si>
    <t>Ordes . A Coruña . España</t>
  </si>
  <si>
    <t>Amapola🌷</t>
  </si>
  <si>
    <t>Qué ganas de llegar al pueblo y no ver la tele ni twiter...apesta a Vox, a Pablo Casado y a Rivera. Yo feliz sin haceros ni puto caso.</t>
  </si>
  <si>
    <t>Cuando estés tríste píntate de rojo intenso los labios y sonríe ante el espejo.Desafía al más fuerte de los vientos y descubrirás q tienes alma de amapola.</t>
  </si>
  <si>
    <t>Itu</t>
  </si>
  <si>
    <t>Qué toque le ha tenido que dar Europa a Pablo Casado para que ahora no quiera nada con sus amiguitos Nazis</t>
  </si>
  <si>
    <t>Catalanista, Sionista, Socioliberal y Aficionado al FC Barcelona</t>
  </si>
  <si>
    <t>Athenean Venture</t>
  </si>
  <si>
    <t>Casado pregunta a cargos  del PP si WoW Villarejo CRACK a que sí  ! tiene grabaciones contra ellos Confidencial Digital</t>
  </si>
  <si>
    <t>http://www.tiradecontacto.net/665219224/?p=3788
http://nzzl.us/hZHSIZL
https://nzzl.us/9tU0Zip</t>
  </si>
  <si>
    <t>Diego Cruz</t>
  </si>
  <si>
    <t>Ribeira</t>
  </si>
  <si>
    <t>barcos buques yates piratas petroleros desastres navales Prestige Alakrana Keny Cosmos Athenian Venture Sinaloa Australis #Syntagma</t>
  </si>
  <si>
    <t>http://agaricus.eresmas.net/vspeciosa.htm</t>
  </si>
  <si>
    <t>ZambullO</t>
  </si>
  <si>
    <t>¿Alguien le puede decir a Pablo Casado que deje de robarle las chaquetas a su abuelo?</t>
  </si>
  <si>
    <t>Aquí mi blog personal</t>
  </si>
  <si>
    <t>Celebrando la existencia en torno a las palabras. ¿Conversamos?</t>
  </si>
  <si>
    <t>http://www.diariodeuntranseunte.es</t>
  </si>
  <si>
    <t>Espatraña.</t>
  </si>
  <si>
    <t>Un día apreté tanto para cagar que Luke Skywalker percibió una perturbación en la fuerza.</t>
  </si>
  <si>
    <t>José García</t>
  </si>
  <si>
    <t>Los problemas de Casado con la caja B del PP antes de Navidad Cosidó, Fernández Díaz, el chófer de Bárcenas y la mujer del tesorero desfilarán este mes por el Congreso para explicar la red de espionaje de Villarejo</t>
  </si>
  <si>
    <t>OURENSE</t>
  </si>
  <si>
    <t>Trabajo en el SERVICIO GALEGO DE SAUDE (En lo que queda de él) Formo parte de colectivos en defensa de la sanidad y servicios públicos</t>
  </si>
  <si>
    <t>Pablo Casado y Albert Rivera negocian el pacto: para el PP la Presidencia de la Junta y para Cs la Vicepresidencia</t>
  </si>
  <si>
    <t>https://www.elplural.com/autonomias/andalucia/el-futuro-de-andalucia-se-decide-en-madrid_207700102</t>
  </si>
  <si>
    <t>daniel brown</t>
  </si>
  <si>
    <t>SciFiRino (ハビ)</t>
  </si>
  <si>
    <t>Adaptada a nuestras costumbres, como le gusta a Pablo Casado. RT @el_pais: ÚLTIMA HORA | Shakira afrontará una causa penal en España por defraudar 14,5 millones a Hacienda</t>
  </si>
  <si>
    <t>https://twitter.com/el_pais/status/1071056794234052611
https://elpais.com/elpais/2018/12/07/gente/1544186974_680816.html?id_externo_rsoc=TW_CM</t>
  </si>
  <si>
    <t>The Guay House</t>
  </si>
  <si>
    <t>Señor mayor, más viejo que el Donkey Kong. Subcampeón del Monger ProTour 1988. Tengo Neflis. mejor peor cocinero EVER. Bofetá con un rodaballo.Tweets are my own</t>
  </si>
  <si>
    <t>http://theansiblog.wordpress.com</t>
  </si>
  <si>
    <t>Txema</t>
  </si>
  <si>
    <t>El futuro de Andalucía se decide en Madrid. Pablo Casado y Albert Rivera negocian el pacto: para el PP la Presidencia de la Junta y para Cs la Vicepresidencia, además de la Presidencia del Parlamento. "Menos mal que eran elecciones en y de Andalucía"</t>
  </si>
  <si>
    <t>S.Infraest. Movilidad #Resistance Amigo d Amigos #Sociata #Humanist #CitoyenduMonde, Docente #PaperliActivist #Rebels #Red Cleaned #Irreverent No DM Earth</t>
  </si>
  <si>
    <t>Manuela</t>
  </si>
  <si>
    <t># "Sánchez, cómplice de la kale borroca independentista por no aplicar el 155" Pablo Casado..Videos 2.Torra ordena una purga en los Mossos y un vídeo violento de los CDR le hunde. El Gobierno tiene que frenar la kale borroka en Cataluña y poner o</t>
  </si>
  <si>
    <t>https://toyyyestudiando.blogspot.com/2018/12/sanchez-complice-de-la-kale-borroca.html?spref=fb</t>
  </si>
  <si>
    <t>LEON_EL_BIERZO</t>
  </si>
  <si>
    <t>APRENDIZA DE LA VIDA</t>
  </si>
  <si>
    <t>http://merianmi.wordpress.com/</t>
  </si>
  <si>
    <t>Manchego FreePoliticalPrisoners</t>
  </si>
  <si>
    <t>"Los sabios hablan porque tienen algo que decir, los tontos hablan porque tienen que decir algo" Platón. Dedicado a Pablo Casado por @ArnaldoOtegi La filosofía en las escuelas es un deber.</t>
  </si>
  <si>
    <t>Castilla La Marcha.</t>
  </si>
  <si>
    <t>Nunca openes de lo que no sepias.</t>
  </si>
  <si>
    <t>Cadena SER Zaragoza</t>
  </si>
  <si>
    <t>Pablo Casado elige #Aragón para iniciar la presentación de los candidatos para 2019 @pparagon @pablocasado_ @LuismaBeamonte @Jorge_Azcon @AnaAlos #EmmaBuj</t>
  </si>
  <si>
    <t>http://cadenaser.com/emisora/2018/12/07/radio_zaragoza/1544194416_949080.html</t>
  </si>
  <si>
    <t>Zaragoza</t>
  </si>
  <si>
    <t>Radio Zaragoza - Cadena SER</t>
  </si>
  <si>
    <t>http://www.radiozaragoza.es</t>
  </si>
  <si>
    <t>Cristian Buendía V.</t>
  </si>
  <si>
    <t>Pablo Casado, a los inmigrantes: "O respetan las costumbres occidentales o se han equivocado de país"</t>
  </si>
  <si>
    <t>https://elpais.com/elpais/2018/12/07/gente/1544186974_680816.html</t>
  </si>
  <si>
    <t>Graduado en Periodismo. Sigo estudiando. Work in progress.</t>
  </si>
  <si>
    <t>https://es.linkedin.com/in/cristianbuendiavidal</t>
  </si>
  <si>
    <t>Toni 🔻 #NoPassaran</t>
  </si>
  <si>
    <t>Si Pablo Casado, Albert Rivera y Santiago Abascal dijeran “O esto o nada” mientras el ejército apunta al resto con sus armas, me lo imagino. RT @diostuitero: ¿Os imagináis a Pablo Casado, Pedro Sánchez, Albert Rivera, Pablo Iglesias, Gabriel Rufián y Santiago Abascal pactando una Constitución?</t>
  </si>
  <si>
    <t>https://twitter.com/diostuitero/status/1070703777911631874</t>
  </si>
  <si>
    <t>Alacant Terminal / País Valencià</t>
  </si>
  <si>
    <t>Somos los que fueron tanto siendo nada.</t>
  </si>
  <si>
    <t>LCR</t>
  </si>
  <si>
    <t>creo q a nivel nacional el PP y C,s pagaran un alto precio si pactan con la ULTRADERECHA DE VOX .....los votantes moderados"de sus partidos no se lo van a perdonar ..los TARADOS si ...los moderados no.y si PP pierde 10-12 escaños pablo Casado no tendra la misma sonrisa q ahora.</t>
  </si>
  <si>
    <t>Jurista y Justo creo en la JUSTICIA LIBRE Y DEMOCRATICA soy ANTIFASCISTA PORQ SOY ESPAÑOL Y DEMOCRATA ❤💛💜al fascismo se le combate y se le derrota .</t>
  </si>
  <si>
    <t>Hector Lima #CCXP / B30</t>
  </si>
  <si>
    <t>Colaboradores da Sinistra #01 na #ccxp18: A-40: Magenta King B-30: Camila Torrano &amp; Hector Lima B-31: Pablo Casado &amp;amp; Talles Rodrigues D-43: Deyvison Manes E-18: Abel F-40: Larissa Palmieri Circulando pelo evento: Isabelle Félix, Jéssica Reinaldo e Priscilla Petraites</t>
  </si>
  <si>
    <t>https://pbs.twimg.com/media/Dt1cyiTXgAEl8o3.jpg</t>
  </si>
  <si>
    <t>São Paulo, Brasil</t>
  </si>
  <si>
    <t>Writer. HEAVY METAL MAGAZINE #291, 292 | Roteirista da @ficticiaorg. Revista SINISTRA http://bit.ly/RevSinistra01, SABOR BRASILIS, BARÃO MACACO, MULHEROMEM Eng/Port</t>
  </si>
  <si>
    <t>http://hectorlima.com</t>
  </si>
  <si>
    <t>Bertín Osborne carga contra todos, excepto Albert Rivera y Pablo Casado: "España es el país con más políticos idiotas por metro cuadrado"</t>
  </si>
  <si>
    <t>MANUEL GARCIA</t>
  </si>
  <si>
    <t>Pablo Casado exige aplicar el 155 contra los integrantes del CDR</t>
  </si>
  <si>
    <t>http://www.diarioalcazar.com/2018/12/pablo-casado-exige-aplicar-el-155.html#.XAq95uYd67w.twitter</t>
  </si>
  <si>
    <t>españa</t>
  </si>
  <si>
    <t>Varo SDC</t>
  </si>
  <si>
    <t>Los que llaman a Pedro Sánchez "Pdr Snchz" ¿Por que no llaman a Pablo Casado "Pablo K-sado"?</t>
  </si>
  <si>
    <t>Santiago de Compostela</t>
  </si>
  <si>
    <t>Tuitero nivel medio.</t>
  </si>
  <si>
    <t>El Diario Vasco</t>
  </si>
  <si>
    <t>Según datos del propio partido, los momentos de mayor crecimiento coincidieron con el referéndum del 1 de octubre en Cataluña la moción de censura a Mariano Rajoy y la elección de Pablo Casado como líder del PP</t>
  </si>
  <si>
    <t>http://dozz.es/caa_k2</t>
  </si>
  <si>
    <t>San Sebastian Spain</t>
  </si>
  <si>
    <t>Información de última hora y noticias de cultura, deportes, tecnología, televisión...y toda la actualidad de Gipuzkoa, Real Sociedad, Gipuzkoa Basket y SD Eibar</t>
  </si>
  <si>
    <t>http://www.diariovasco.com</t>
  </si>
  <si>
    <t>albert ferrer</t>
  </si>
  <si>
    <t>Este es de la clase de Pablo Casado, del máster de EEUU</t>
  </si>
  <si>
    <t>pic.twitter.com/er2HTmAwHi</t>
  </si>
  <si>
    <t>Catalunya, Europa</t>
  </si>
  <si>
    <t>el 21D aturem el país, de veritat</t>
  </si>
  <si>
    <t>http://CATALUNYA.CAT</t>
  </si>
  <si>
    <t>Protestona 🇵🇹</t>
  </si>
  <si>
    <t>Pablo Casado se va a cargar la sanidad pública. Luego no digáis que no venía dando pistas 👇👇👇</t>
  </si>
  <si>
    <t>https://pbs.twimg.com/media/Dt1YVlaXcAEfb0e.jpg</t>
  </si>
  <si>
    <t>Sevilla</t>
  </si>
  <si>
    <t>Republicana, feminista, atea y roja. Partisana. De Podemos. http://Instagram.com/Protestona1 TLG https://t.me/protestona1 https://www.facebook.com/Protestona2/</t>
  </si>
  <si>
    <t>http://alcantarillasocial.com/author/protestona1</t>
  </si>
  <si>
    <t>K|̶̿ ̶̿ ̶̿ ̶̿|Z|̶͇̿ ̶͇̿ ͇̿ 15</t>
  </si>
  <si>
    <t>Las personas SABIAS hablan porque tienen algo que decir. Los TONTOS hablan porque tienen que decir algo. (Platón).</t>
  </si>
  <si>
    <t>Confidencial Digital</t>
  </si>
  <si>
    <t>Una familiar de Pablo Casado llega al TSJ valenciano</t>
  </si>
  <si>
    <t>http://somosecd.com/jn_rh6</t>
  </si>
  <si>
    <t>+34 91 445 96 97 Madrid, Spain</t>
  </si>
  <si>
    <t>El twitter de las personas informadas que desean estar más informadas. http://somosecd.com/8m0gl socios@elconfidencialdigital.com</t>
  </si>
  <si>
    <t>http://www.elconfidencialdigital.com/</t>
  </si>
  <si>
    <t>Luichi</t>
  </si>
  <si>
    <t>Pablo Casado pide a Pedro Sánchez que ponga orden en Catalunya y aplique el 155 @lavanguardia  La ultraderecha no es solo Vox, Casado y Rivera están a su nivel</t>
  </si>
  <si>
    <t>Josep Maria_Encabronat 👚👚👚👚son llaços grocs!!</t>
  </si>
  <si>
    <t>Carles Puigdemont @KRLS el nostre President. Per cert Pablo Casado @pablocasado_ métete el 155 ya sabes la rima y por donde gilipollas</t>
  </si>
  <si>
    <t xml:space="preserve">REPÚBLICA CATALANA </t>
  </si>
  <si>
    <t>Vull la independència del meu pais. I ni oblido ni perdono. Respecte i homenatge a tota la gent del 1Octubre. Valents !!! VISCA CATALUNYA LLIURE !!!</t>
  </si>
  <si>
    <t>Libertarioespañol</t>
  </si>
  <si>
    <t>Pablo Casado será un mamarracho, pero ella es un cateta. RT @pnique: Hermano andaluz. Hermana andaluza. Hayas votado a quien hayas votado en el pasado. No te voy a pedir el voto. Sólo te pido que veas estos 2 minutos de @TeresaRodr_... Y que mañana vayas a votar pensando en las cosas que son de verdad. Andalucía se juega mucho.</t>
  </si>
  <si>
    <t>https://twitter.com/pnique/status/1068824835139268608</t>
  </si>
  <si>
    <t>pic.twitter.com/4g2AW0vDD3</t>
  </si>
  <si>
    <t>Islas Canarias, España</t>
  </si>
  <si>
    <t>•Libertad •Propiedad privada •Igualdad ante la ley #vivalalibertadcarajo</t>
  </si>
  <si>
    <t>https://www.instagram.com/libertarioespanol/</t>
  </si>
  <si>
    <t>Anita Thomsen</t>
  </si>
  <si>
    <t>http://www.anitathomsen.info</t>
  </si>
  <si>
    <t>Fernando Sabés</t>
  </si>
  <si>
    <t>¿El PP de Aragon aun no sabe que su jefe, es decir, Pablo Casado quiere pactar con Vox? Lo digo por la radicalidad de la que hablan... en fin... RT @ep_aragon: Beamonte asegura que PSOE y Podemos son la izquierda "nefasta" y subraya que el PP "quiere acabar con la radicalidad" @pparagon @LuismaBeamonte</t>
  </si>
  <si>
    <t>https://twitter.com/ep_aragon/status/1071052149507981312?s=19
https://www.europapress.es/aragon/noticia-beamonte-asegura-psoe-podemos-son-izquierda-nefasta-subraya-pp-quiere-acabar-radicalidad-20181207154144.html</t>
  </si>
  <si>
    <t>San Esteban de Litera (Huesca)</t>
  </si>
  <si>
    <t>Alcalde de San Esteban de Litera y diputado en las Cortes de Aragon por @aragonpsoe. Doctor en Comunicación y profesor de Periodismo en la UAB (en excedencia).</t>
  </si>
  <si>
    <t>vicente diaz montero</t>
  </si>
  <si>
    <t>Tarragona, España</t>
  </si>
  <si>
    <t>Jac Obo</t>
  </si>
  <si>
    <t>Cuidadano del mundo.Realista con el Presente,Optimista con el Futuro. Politica y cultura.</t>
  </si>
  <si>
    <t>pedro #StopFascismo</t>
  </si>
  <si>
    <t>El tal Pablo master #casado es tonto verdad? Los mossos apalean y revienta a palos a los antifascista catalanes y defienden a los hijo de **** de vox. Verdad? Entonces porque quiere aplicar el 155 a los mossos. #StopFascismo #PresosPoliticos</t>
  </si>
  <si>
    <t>Mallorca</t>
  </si>
  <si>
    <t>cordoba, andalucia, españa</t>
  </si>
  <si>
    <t>hoy da vergüenza ser andaluz. Como dice Paquillo, hemos nacido para sufrir. simpre a la izquierda, Máster por la universidad Juan Carlos I 😎</t>
  </si>
  <si>
    <t>Un aznarista y ex-secretario general de FAES completa el giro liberal de Pablo Casado</t>
  </si>
  <si>
    <t>https://www.elplural.com/politica/casado-ficha-a-lasquetty-el-precursor-de-la-privatizacion-de-hospitales_207704102</t>
  </si>
  <si>
    <t>macolvialcar</t>
  </si>
  <si>
    <t>Pablo Casado ficha como jefe de Gabinete a Javier Lasquetty, privatizador de la sanidad y hombre de Aznar y Aguirre  vía @eldiarioes #lasquetty</t>
  </si>
  <si>
    <t>País sin estudios, un país ignorante; país sin sanidad, pais enfermo; país que rescata a los bancos es un país esclavo; país sin justicia es una tiranía.</t>
  </si>
  <si>
    <t>Todo Radio🇪🇸</t>
  </si>
  <si>
    <t>PABLO CASADO: El Gobierno tiene que frenar la kale borroka en Cataluña y poner orden:  via @YouTube</t>
  </si>
  <si>
    <t>http://youtu.be/sUkSM9OxbW8?a</t>
  </si>
  <si>
    <t>Somo, Cantabria</t>
  </si>
  <si>
    <t>Playa de Somo,Cantabria. ESPAÑA</t>
  </si>
  <si>
    <t>https://www.youtube.com/channel/UCzAeV22GnQxwUBokDOEyb4A</t>
  </si>
  <si>
    <t>Granada200</t>
  </si>
  <si>
    <t>Ciudad Real</t>
  </si>
  <si>
    <t>Apasionada por la lectura,la musica, caminar y la defensa de los derechos humanos</t>
  </si>
  <si>
    <t>Rednet</t>
  </si>
  <si>
    <t>Pablo Casado continúa alimentando la crispación anticatalana, como VOX y Ciudadanos. Anticatalanismo, antichavismo, antimadurismo,anticomunismo, xenofobia, homofobia, misoginia...fueron las propuestas del "tripartito" para solucionar los problemas de Andalucia</t>
  </si>
  <si>
    <t>I added a video to a @YouTube playlist  PABLO CASADO: El Gobierno tiene que frenar la kale borroka en Cataluña</t>
  </si>
  <si>
    <t>Inma De Francisco</t>
  </si>
  <si>
    <t>Hoy en Teruel, Pablo Casado ha comenzado la presentación de candidatos, Luis María Beamonte, al Gobierno de Aragón y los tres cabezas de lista de las capitales, Jorge Azcón, Enma Buj y Ana Alós. Todos a trabajar para ganar las próximas elecciones.</t>
  </si>
  <si>
    <t>https://pbs.twimg.com/media/Dt1DqVvXcAAPkgy.jpg</t>
  </si>
  <si>
    <t>Zaragoza, España</t>
  </si>
  <si>
    <t>Diputada Provincial</t>
  </si>
  <si>
    <t>Cristobal Gil Quiros</t>
  </si>
  <si>
    <t>Jerez de la Frontera, España</t>
  </si>
  <si>
    <t>Alcanzada la edad adulta aspiro a ser observador activo y critico con lo que me rodea, lo hermoso conservarlo -transmitirlo,lo injusto sin prepotencia cambiarlo</t>
  </si>
  <si>
    <t>Carlos Masini</t>
  </si>
  <si>
    <t>Muy malas noticias para el P.P. español, se ha abierto otra fuga importante d sus votos hacia el lado d Vox, la inercia positiva q habia generado el nuevo liderazgo d Pablo Casado, ahora está en riesgo</t>
  </si>
  <si>
    <t>JCRM</t>
  </si>
  <si>
    <t>Merida-Venezuela</t>
  </si>
  <si>
    <t>Consultor Marketing Politico, determinación y geolocalizacion d targets, Ingeniero por la U.L.A, Especialista en Estrategia y Comunicación Política por U.A.B.</t>
  </si>
  <si>
    <t>Illes Balears. Spain</t>
  </si>
  <si>
    <t>Apasionada de la vida, de la familia y de los amigos, ante todo esposa y madre de 2 tesoros. Católica. Española y mallorquina. Trabajadora compulsiva.</t>
  </si>
  <si>
    <t>La frontissa</t>
  </si>
  <si>
    <t>EXCLUSIVA | La Rey Juan Carlos informa a la jueza de que no hay rastro del tribunal ni del acta de convalidaciones del máster de Pablo Casado  via @eldiarioesEco</t>
  </si>
  <si>
    <t>https://m.eldiario.es/_2eb9b61f</t>
  </si>
  <si>
    <t>La tarde de Dieter</t>
  </si>
  <si>
    <t>.@ldpsincomplejos : "Lo que ha pasado en Andalucía es muy llamativo porque, además de la irrupción de Vox, hemos visto a un Pablo Casado que abordaba las elecciones en una posición no muy buena y ha salido reforzado. Lo nuclear es el batacazo inmenso que se ha metido el PSOE".</t>
  </si>
  <si>
    <t>Programa de esRadio, de 16:00 a 19:00 de la tarde</t>
  </si>
  <si>
    <t>http://esradio.libertaddigital.com/es-la-tarde-de-dieter/</t>
  </si>
  <si>
    <t>Josep Borrell Fontetas</t>
  </si>
  <si>
    <t>Pablo Casado: “Señor Sánchez, aplique el artículo 155 de una vez”. Da igual cuando leas esto.</t>
  </si>
  <si>
    <t>Sant Esteve de les Roures</t>
  </si>
  <si>
    <t>Menestro desinfectador de separratas catalanes. Cuenta de Parodia ⚠️#FAKE⚠️ ZOTAL el desinfectador ideal. TORERO: “No me sigas”</t>
  </si>
  <si>
    <t>pedro eguren sáez</t>
  </si>
  <si>
    <t>psicólogo, investigador y músico</t>
  </si>
  <si>
    <t>Marcos</t>
  </si>
  <si>
    <t>El fascismo se cura leyendo y el racismo viajando. Honestidad, Confianza, Respeto. (Carpe Díem) A votar se va leído.</t>
  </si>
  <si>
    <t>Comunist Mérida</t>
  </si>
  <si>
    <t>por que nadie le ha estallado la cabeza a pablo casado?</t>
  </si>
  <si>
    <t>Sapphire's Heart</t>
  </si>
  <si>
    <t>Antifa hasta la muerte. 1312</t>
  </si>
  <si>
    <t>El merecido piropo a don @pablocasado_ Menudo ejemplar.  vía @diario_16</t>
  </si>
  <si>
    <t>Álvaro muñoz</t>
  </si>
  <si>
    <t>Lo de Pablo Casado con Cataluña y el 155 no es una posición política, es una enfermedad.</t>
  </si>
  <si>
    <t>Barcelona, Catalunya, España.</t>
  </si>
  <si>
    <t>Orgulloso de ser sindicalista de CCOO ahora sec gral de Industria en un trocito de mi Catalunya y de Cat en Comú para defender a l@s mi@s...la clase obrera.</t>
  </si>
  <si>
    <t>http://www.ccoo.cat</t>
  </si>
  <si>
    <t>LaCerca noticias CLM</t>
  </si>
  <si>
    <t>#España Pablo Casado exige @sanchezcastejon que deje de jugar con la Constitución y las instituciones para intentar beneficiar al @PSOE @gobjccm @ahorapodemos</t>
  </si>
  <si>
    <t>http://www.lacerca.com/noticias/espana/pp-casado-sanchez-deje-jugar-constitucion-instituciones-psoe-448261-1.html</t>
  </si>
  <si>
    <t>📌📢Diario digital multimedia de Castilla-La Mancha. 📡⚡️Noticias, Entrevistas y Reportajes de ▶️ Albacete, Cuenca, Ciudad Real, Guadalajara y Toledo.🙅📸TV online 📺</t>
  </si>
  <si>
    <t>http://www.lacerca.com</t>
  </si>
  <si>
    <t>Gonzalo Sánchez</t>
  </si>
  <si>
    <t>SORPRESA: Dice que Albert Rivera y Pablo Casado se salvan. RT @abc_es: Bertín Osborne: «España es el país con más políticos idiotas por metro cuadrado»</t>
  </si>
  <si>
    <t>https://twitter.com/abc_es/status/1071022767296917504
http://ver.abc.es/lbk4w1</t>
  </si>
  <si>
    <t>Calle Cortada</t>
  </si>
  <si>
    <t>Estudiante de periodismo de la UV. Los cínicos no sirven para este oficio. También bebo cerveza</t>
  </si>
  <si>
    <t>https://ressosite.wordpress.com/</t>
  </si>
  <si>
    <t>@Mariano9605</t>
  </si>
  <si>
    <t>El futuro de Andalucía se decide en Madrid via @El_Plural  Pablo Casado y Albert Rivera negocian el pacto: para el PP la Presidencia de la Junta y para Cs la Vicepresidencia, además de la Presidencia del Parlamento</t>
  </si>
  <si>
    <t>España.</t>
  </si>
  <si>
    <t>60 años desde mi nacimiento. NO UTILIZO DM</t>
  </si>
  <si>
    <t>Los problemas de Casado con la caja B del PP antes de Navidad via @El_Plural  Cosidó, Fernández Díaz, el chófer de Bárcenas y la mujer del tesorero desfilarán este mes por el Congreso para explicar la red de espionaje de Villarejo</t>
  </si>
  <si>
    <t>El Gobierno acusa a Pablo Casado y a Albert Rivera de "blanquear" a Vox y espera que Andalucía no se convierta en la "cuna de la ultraderecha"  #CMin</t>
  </si>
  <si>
    <t>https://www.eldiario.es/politica/Gobierno-cuestiona-PP-Ciudadanos-Junta_0_843765967.html</t>
  </si>
  <si>
    <t>https://pbs.twimg.com/media/Dt0WDDSWwAIKA2t.jpg</t>
  </si>
  <si>
    <t>@MariaCalleSanti</t>
  </si>
  <si>
    <t>Pablo Casado aspira a gobernar España en coalición con Ciudadanos "en seis meses o un año"</t>
  </si>
  <si>
    <t>http://va.newsrepublic.net/s/UysxMY</t>
  </si>
  <si>
    <t>Granada, España</t>
  </si>
  <si>
    <t>50años.Pensaba Qué Lo SabíaTodo!Ahora Aprendo! Repúblicana! Libertad Imprescindible! Creyente! Madre! Viajar! DefensAnimal!</t>
  </si>
  <si>
    <t>Mariano Zurdo</t>
  </si>
  <si>
    <t>Mientras nos despistamos con VOX, Pablo Casado ficha a Lasquetty para rearmar ideológicamente al PP. Quizás fuera de Madrid se desconozca a este ultraliberal que destrozó la sanidad pública de la mano de Esperanza Aguirre. Miedo al cuadrado.</t>
  </si>
  <si>
    <t>Editor de Talentura. Escritor en busca de talento. Psicólogo y potencial paciente. Y, esencialmente, raro.</t>
  </si>
  <si>
    <t>http://mvazurdo.wix.com/marianozurdo</t>
  </si>
  <si>
    <t>Alejandro Perales</t>
  </si>
  <si>
    <t>Venezuela</t>
  </si>
  <si>
    <t>Público</t>
  </si>
  <si>
    <t>❗ El exsecretario general de FAES será el nuevo jefe de gabinete de Pablo Casado</t>
  </si>
  <si>
    <t>https://www.publico.es/politica/pp-lasquetty-vuelve-genova-nuevo-jefe-gabinete-casado.html?utm_source=twitter&amp;utm_medium=social&amp;utm_campaign=publico</t>
  </si>
  <si>
    <t>Twitter oficial del Diario Público. @Memoria_Publica @TodasPublico @pub_sinmordazas @yoanimal_p @tremending</t>
  </si>
  <si>
    <t>http://www.publico.es</t>
  </si>
  <si>
    <t>JOSE LUIS DOMINGUEZ</t>
  </si>
  <si>
    <t>MADRID, ESPAÑA</t>
  </si>
  <si>
    <t>Antígona</t>
  </si>
  <si>
    <t>La imaginación al Poder! Que la Política sea la práctica de lo imposible. Sí Se Puede!. 💜💪</t>
  </si>
  <si>
    <t>Luisito</t>
  </si>
  <si>
    <t>Pablo Casado ha dicho hoy en Teruel que Lamban es un radical.🤦‍♂️🤦‍♂️🤦‍♂️🤦‍♂️ Si no fuera por las imágenes que pongo en los tuits, me costaría poder hacer alguno. #FelizFinde</t>
  </si>
  <si>
    <t>https://pbs.twimg.com/media/Dt0p9WvW4AE8zXn.jpg</t>
  </si>
  <si>
    <t xml:space="preserve">Zaragoza </t>
  </si>
  <si>
    <t>De izquierdas pero muy inclinado.</t>
  </si>
  <si>
    <t>Alens</t>
  </si>
  <si>
    <t>Si te llamas Pablo y te apellidas Casado el descuento es del 100% RT @FonsiLoaiza: Es vergüenza que desde las universidades se promueva el fascismo. En la Universidad Juan Carlos I tienes un descuento de 8.000€ si eres afiliado al partido fascista de @vox_es</t>
  </si>
  <si>
    <t>https://twitter.com/FonsiLoaiza/status/1070716130220797954</t>
  </si>
  <si>
    <t>https://pbs.twimg.com/media/DtvyoDkW0AAzkQp.jpg</t>
  </si>
  <si>
    <t>Alcázar de San Juan</t>
  </si>
  <si>
    <t>RMCF MCFC</t>
  </si>
  <si>
    <t>Planeta Tierra</t>
  </si>
  <si>
    <t>laquintacolumna</t>
  </si>
  <si>
    <t>Me parece increíble que Pablo Casado no tenga un solo asesor que le expliqué que copiar el discurso de VOX no le hará recuperar votos, porque la gente, ante dos partidos con el mismo discurso, siempre elegirán al que no tenga mochila.</t>
  </si>
  <si>
    <t>La vida es lo que pasa mientras pierdes el tiempo escribiendo un tuit</t>
  </si>
  <si>
    <t>LO LÖCY</t>
  </si>
  <si>
    <t>Pablo Casado sucnormal</t>
  </si>
  <si>
    <t>🔖</t>
  </si>
  <si>
    <t>locy@checaresmien.org discord: locyber#2769</t>
  </si>
  <si>
    <t>http://checaresmien.org</t>
  </si>
  <si>
    <t>María de Tabarnia 🇪🇸 🌺</t>
  </si>
  <si>
    <t>🔵🔵🔵 Pablo Casado pide al Gobierno que deje de "jugar" con la Carta Magna: «Si no tienen discurso, si no tienen programa, que se busquen otro invento, que dejen en paz a la Constitución» 👏👏👏 @sanchezcastejon sátrapa y felón.</t>
  </si>
  <si>
    <t>pic.twitter.com/axfIad4v7k</t>
  </si>
  <si>
    <t>Barcelona, Cataluña, ESPAÑA</t>
  </si>
  <si>
    <t>Enamorada de la Mar y de la Luna, de la cultura, arte, música, deporte, de mis hijos, de Dios, del AMOR... "Cualquier noche de estas, volverá a brillar el Sol".</t>
  </si>
  <si>
    <t>RTVEaragon</t>
  </si>
  <si>
    <t>Informativo de Aragón - El presidente del Partido Popular, Pablo Casado, ha presentado hoy en Teruel a los tres candidatos de su partido para las próximas Elecciones Autonómicas y Locales de 2019 - 07/12/2018</t>
  </si>
  <si>
    <t>http://dlvr.it/Qt41MT</t>
  </si>
  <si>
    <t>https://pbs.twimg.com/media/Dt0jSpbU0AEKoD8.jpg</t>
  </si>
  <si>
    <t>Cuenta oficial en Twitter de RNE y TVE en Aragón informativos.aragon@rtve.es</t>
  </si>
  <si>
    <t>http://www.rtve.es/</t>
  </si>
  <si>
    <t>El Inquisidor Dormilon</t>
  </si>
  <si>
    <t>Piélagos, España</t>
  </si>
  <si>
    <t>Alfredo Simón</t>
  </si>
  <si>
    <t>Lakun</t>
  </si>
  <si>
    <t>Cada uno tenemos nuestra ideología, te podrán gustar o no Sánchez, Iglesias, Rivera...pero hay un hecho objetivo e irrefutable. Pablo Casado es el clásico tonto.</t>
  </si>
  <si>
    <t>Absorto, aplomado, constante, resuelto.</t>
  </si>
  <si>
    <t>Angeles Galdiz</t>
  </si>
  <si>
    <t>Ernesto Ekaizer</t>
  </si>
  <si>
    <t>"Cataluña está fuera de sí declara Pablo Casado, quien exige a Sánchez frenar ya la "kale borroka independentista" con otro 155.</t>
  </si>
  <si>
    <t>https://www.europapress.es/nacional/noticia-casado-exige-sanchez-frenar-ya-kale-borroka-independentista-otro-155-cataluna-fuera-si-20181207143450.html</t>
  </si>
  <si>
    <t>Escritor y periodista. Analista y reportero en los diarios EL PAÍS y ARA; Las Mañanas Cuatro, TeleMadrid, la SER, Versió RAC1 y Boulevard Radio Euskadi.</t>
  </si>
  <si>
    <t>El Racó de pensar de Sant Esteve de les Roures</t>
  </si>
  <si>
    <t>Pablo Casado es Constitucional, Cinturón Negro, 2o Máster.</t>
  </si>
  <si>
    <t>glowing eyes</t>
  </si>
  <si>
    <t>mi abuelo dice el pablo casado es un niñato</t>
  </si>
  <si>
    <t>Breda, Nederland</t>
  </si>
  <si>
    <t>tranquilita</t>
  </si>
  <si>
    <t>Gettin' Old</t>
  </si>
  <si>
    <t>Rosa Montero: "Pablo Casado es peligroso, reaccionario y nunca aprenderá nada del feminismo"</t>
  </si>
  <si>
    <t>El inmenso vacío del universo.</t>
  </si>
  <si>
    <t>Cae eternamente,cae al fondo del infinito,cae al fondo del tiempo,cae al fondo de ti mismo,cae lo más bajo que se pueda caer,cae sin vértigo.</t>
  </si>
  <si>
    <t>LaNinyaMala 🎗#ViaFora✊</t>
  </si>
  <si>
    <t>Cada cop que sento a Pablo Casado dir : - Señor Sánchez,aplique ya el 155! Em venen ganes de contestar-li allò de: - Por el culo te la hinco</t>
  </si>
  <si>
    <t>pic.twitter.com/JzLfpZsqJT</t>
  </si>
  <si>
    <t>Reus</t>
  </si>
  <si>
    <t>Faig coses...😏 El teu poder,radica en la meva por,si jo ja no tinc por,tu ja no tens poder! ✊💛🎗 #JoSocCDR</t>
  </si>
  <si>
    <t>Ana Palomar Monge</t>
  </si>
  <si>
    <t>Sori-maña de pro.</t>
  </si>
  <si>
    <t>joaquin kremel</t>
  </si>
  <si>
    <t>Pablo Casado: “Voy a aplicar el 155 a París de la Francia” afirmó el estadista.</t>
  </si>
  <si>
    <t>https://pbs.twimg.com/media/Dt0cI6zW4AAjpFW.jpg</t>
  </si>
  <si>
    <t>Actor. Practica la siesta, considerando este acto, como la meditación necesaria y fundamental para la vida.</t>
  </si>
  <si>
    <t>Catalunya Ràdio</t>
  </si>
  <si>
    <t>🔊 Pablo Casado reclama a Pedro Sánchez que torni a aplicar el 155 a Catalunya</t>
  </si>
  <si>
    <t>https://bit.ly/2B1NyrU</t>
  </si>
  <si>
    <t>Twitter oficial de la ràdio nacional de Catalunya. #CatRàdioEsMou #CR35</t>
  </si>
  <si>
    <t>http://www.catradio.cat</t>
  </si>
  <si>
    <t>Grupo Gethi</t>
  </si>
  <si>
    <t>El exconsejero de Sanidad en Madrid, Fernández Lasquetty, nuevo jefe de gabinete de Pablo Casado  #gethi #oncologia</t>
  </si>
  <si>
    <t>https://buff.ly/2UjfMaA</t>
  </si>
  <si>
    <t>twitter oficial del Grupo Español de Tumores Huérfanos e Infrecuentes</t>
  </si>
  <si>
    <t>http://www.gethi.org</t>
  </si>
  <si>
    <t>María Frías</t>
  </si>
  <si>
    <t>Marbella</t>
  </si>
  <si>
    <t>He resistido y resistiré, hasta donde pueda.</t>
  </si>
  <si>
    <t>Joel</t>
  </si>
  <si>
    <t>Pablo Casado es cómo esos aficionados del Barça que son más anti-madridistas que culés. No importa no aportar nada a nivel español, con ir en contra de Catalunya ya le funciona la cosa.</t>
  </si>
  <si>
    <t>༺ Graphic Design • Illustration • Photography • Shibari #縛り ༻ 🎗</t>
  </si>
  <si>
    <t>https://theprose.com/jotatsu</t>
  </si>
  <si>
    <t>L'Inspecteur</t>
  </si>
  <si>
    <t>Pablo Casado saluda a Karl Lagerfeld.</t>
  </si>
  <si>
    <t>https://pbs.twimg.com/media/Dt0YKxJWsAAd5N6.jpg</t>
  </si>
  <si>
    <t>Quemedejéis.</t>
  </si>
  <si>
    <t>https://youtu.be/TCql_AXSpzg?t=5s</t>
  </si>
  <si>
    <t>Pol Dirvanauskas</t>
  </si>
  <si>
    <t>La ironía de estar mirando noticias en TV3 y ver a Pablo Casado en un meeting diciendo que Cataluña esta fuera de sí, pidiendo a Sánchez la aplicación del artículo 155 porque entre otras cosas "TV3 manipula".</t>
  </si>
  <si>
    <t>Estudiante de Publicidad y Relaciones Públicas en @esrpub_oficial Más culé que Gamper</t>
  </si>
  <si>
    <t>Jordi Mota Sierra</t>
  </si>
  <si>
    <t>Pablo Casado está ido</t>
  </si>
  <si>
    <t>Girona - Catalunya</t>
  </si>
  <si>
    <t>Vicepresident del Consell Municipal LGTBI de Girona President de la Comissió Unitària 28 de Juny de Girona.</t>
  </si>
  <si>
    <t>http://jopassavaperaqui.wordpress.com</t>
  </si>
  <si>
    <t>eldiario.es</t>
  </si>
  <si>
    <t>Periodismo a pesar de todo. Colabora: Hazte socio -- http://www.eldiario.es/socios/alta.html</t>
  </si>
  <si>
    <t>http://www.eldiario.es</t>
  </si>
  <si>
    <t>julia la del 63</t>
  </si>
  <si>
    <t>Útima hora Pablo Casado pide que se aplique el 155 a Paris.</t>
  </si>
  <si>
    <t>Paqui Muy ROJA</t>
  </si>
  <si>
    <t>En el mundo</t>
  </si>
  <si>
    <t>El que adelante no mira, atras se queda #YoConPedro 🌷🌷🌷</t>
  </si>
  <si>
    <t>Vicente Rodriguez Jara</t>
  </si>
  <si>
    <t>Las mentiras de Pablo Casado sobre el golpe, la Gürtel o la guerra de Irak</t>
  </si>
  <si>
    <t>https://www.eldiario.es/escolar/mentiras-Pablo-Casado-Gurtel-Irak_6_828777140.html</t>
  </si>
  <si>
    <t>INDUSTRIA CCOO VALENCIA</t>
  </si>
  <si>
    <t>J. Dios Villanueva #AdelanteAndalucía</t>
  </si>
  <si>
    <t>Primero van junto a la extrema derecha a una manifestación con claro objetivo provocador, tras conseguir los enfrentamientos (incluida intervención policial), Pablo Casado exige aplicación del 155... de libro, actuación de manual...</t>
  </si>
  <si>
    <t>MILITANTE COMUNISTA ANDALUZ</t>
  </si>
  <si>
    <t>Avisadme cuando Albert Rivera o Pablo Casado hagan esto RT @vox_es: 🚨 @Ortega_Smith celebró ayer los 40 años de la Constitución (a pesar del intento de boicot de los CDR) donde más falta hace: en Cataluña. Concretamente en Tarrasa. ⚔ Como decía Hernán Cortes: "No pelea el número sino el ánimo, no vencen los muchos sino los valientes" 💪🇪🇸</t>
  </si>
  <si>
    <t>https://twitter.com/vox_es/status/1071011359108816897</t>
  </si>
  <si>
    <t>pic.twitter.com/5j8B8BNS3t</t>
  </si>
  <si>
    <t>Sevilla, España 🇪🇸</t>
  </si>
  <si>
    <t>Ελευθερία ή Θάνατος</t>
  </si>
  <si>
    <t>http://instagram.com/canivell</t>
  </si>
  <si>
    <t>Pablo Casado exige aplicar el 155 y que Moreno Bonilla asuma la presidencia de la Generalitat.</t>
  </si>
  <si>
    <t>JARRYELSUSIO</t>
  </si>
  <si>
    <t>Los problemas de Casado con la caja B del PP antes de Navidad, Cosidó, Fernández Díaz, el chófer de Bárcenas y la mujer del tesorero desfilarán este mes por el Congreso para explicar la red de espionaje de Villarejo</t>
  </si>
  <si>
    <t>Pasajero de los sueños, orfebre de las sombras, navegante de oceanos muertos.</t>
  </si>
  <si>
    <t>d@N¡£/_✒</t>
  </si>
  <si>
    <t>Está claro que el número favorito de Pablo Casado es el 155</t>
  </si>
  <si>
    <t>Seriéfilo, melómano, a un buen libro nunca le diré que no. Si no escuchaste nunca a Queen, no eres persona🕺💃</t>
  </si>
  <si>
    <t>Alberto Herrero Bono</t>
  </si>
  <si>
    <t>El presidente del Partido Popular, Pablo Casado, comienza en Teruel a presentar a los candidatos a las capitales de provincia y a las comunidades autónomas. #TeruelImporta 💙</t>
  </si>
  <si>
    <t>https://pbs.twimg.com/media/Dt0RUT1XQAImPzJ.jpg</t>
  </si>
  <si>
    <t>Calanda, Teruel</t>
  </si>
  <si>
    <t>Calandino. Ingeniero Mecánico. Diputado del @PPopular en el Congreso por la Provincia de Teruel. Vices. de Formación del PP de Teruel. ¡Bienvenid@!</t>
  </si>
  <si>
    <t>http://www.gppopular.es/diputados/jose-alberto-herrero-bono/</t>
  </si>
  <si>
    <t>Francisco Perez Rota</t>
  </si>
  <si>
    <t>Pablo Casado en lugar de pedir tan repetidamente el 155 para Catalunya podria estudiar un master de verdad aprobarlo y pagarlo mas que nada para que aprenda algo##</t>
  </si>
  <si>
    <t>Antonio</t>
  </si>
  <si>
    <t>https://www.elplural.com/politica/caja-b-partido-popular-congreso-diputados-comision-investigacion-villarejo-pablo-casado_207693102_amp</t>
  </si>
  <si>
    <t>Mancho Pánchez</t>
  </si>
  <si>
    <t>Pablo Casado hablando de kale borroka en Cataluña. Hay que ser imbécil.</t>
  </si>
  <si>
    <t>pic.twitter.com/EGFJFIX7HW</t>
  </si>
  <si>
    <t>A Coruña, Galicia</t>
  </si>
  <si>
    <t>Será mejor que no me sigas. Probablemente te decepcione y, casi seguro, te sientas ofendido por mis opiniones.</t>
  </si>
  <si>
    <t>Confraria De Pescadors SEDR</t>
  </si>
  <si>
    <t>Pablo Casado: "Hay kale borroka en Catalunya, Sr. Sánchez, active ya el 155" El 155 te lo metía yo por dónde amargan los pepinos, fascista de mierda !!!</t>
  </si>
  <si>
    <t>La Confraria de Pescadors de Sant Esteve de les Roures va ser creada 1-O-2017 com una associacio corporativa de pescadors amb un clar fi social.</t>
  </si>
  <si>
    <t>El?as Fraguas</t>
  </si>
  <si>
    <t>Si los antifas son kale borroka, pablo casado es el testículo derecho (el colgandero) de Franco.</t>
  </si>
  <si>
    <t>La vida es dolor y Sugus de naranja. Composer, producer and sound designer for videogames in @redforgemusic. También hago pop en @eliaseignacio y Los Celos.</t>
  </si>
  <si>
    <t>https://redforge.bandcamp.com/</t>
  </si>
  <si>
    <t>DailyMur</t>
  </si>
  <si>
    <t>El Ninja De Las Galletas</t>
  </si>
  <si>
    <t>Pedro Sánchez quiere reformar la Constitución para incluir la igualdad entre hombres y mujeres. Pablo Casado sale diciendo que se deje de perder el tiempo en cosas innecesarias que están atacando Podemos y los catalanes. Qué nº de hostias tiene?</t>
  </si>
  <si>
    <t>Murcia - España</t>
  </si>
  <si>
    <t>Noticias de la Región de Murcia.</t>
  </si>
  <si>
    <t>http://www.dailymur.com</t>
  </si>
  <si>
    <t>Oficinas centrales de @telebollito ¯\_(ツ)_/¯</t>
  </si>
  <si>
    <t>Cuando crees que me ves, cruzo la pared, hago CHAS! y patá en los cojones! 🍪 https://www.facebook.com/chinobininja/</t>
  </si>
  <si>
    <t>https://www.latostadora.com/elninjadelasgalletas/</t>
  </si>
  <si>
    <t>Concepción 🇪🇸 #SanchezDimision</t>
  </si>
  <si>
    <t>Si Vox, al q hasta ahora ¿no había descartado en ningún escenario?, vota en contra o se abstiene y no permite q la investidura salga adelante tendrá “mucho q explicar”. Pablo Casado, si has excluído a VOX de las conversaciones, no vengas ahora a exigir.</t>
  </si>
  <si>
    <t>https://gaceta.es/espana/casado-sobre-los-acuerdos-de-gobierno-la-negociacion-es-con-ciudadanos-20181207-0926/</t>
  </si>
  <si>
    <t>RT todas las notícias e historia sobre Cataluña y Sanchez a la prensa extranjera. La verdad es nuestra mejor arma Nazios los bloqueo a la 1ra.</t>
  </si>
  <si>
    <t>Tania Crespo</t>
  </si>
  <si>
    <t>Sin palabras me quedo. Es tan ignorante, que parece imposible que pueda meter más la pata. Pero no, siempre habrá una próxima vez, vereis, y será peor.</t>
  </si>
  <si>
    <t xml:space="preserve"> Valencia</t>
  </si>
  <si>
    <t>Me encanta mi familia, adoro Valencia. Socialista por convicción.</t>
  </si>
  <si>
    <t>lavozdelsur.es</t>
  </si>
  <si>
    <t>.@pablocasado_ también quiere que @Whatsapp tenga un “emoji” de la zambomba jerezana El presidente nacional del PP muestra así su respaldo, "no sólo a la campaña puesta en marcha por los populares jerezanos sino a la importancia de la #Navidad de Jerez”.</t>
  </si>
  <si>
    <t>https://www.lavozdelsur.es/pablo-casado-tambien-quiere-que-whatsapp-tenga-un-emoji-de-la-zambomba-jerezana/</t>
  </si>
  <si>
    <t>Lo que no quieren que leas</t>
  </si>
  <si>
    <t>Periodismo desde, por y para Andalucía. Defiende el periodismo andaluz, libre e independiente.</t>
  </si>
  <si>
    <t>http://www.lavozdelsur.es</t>
  </si>
  <si>
    <t>El Antiintermedio</t>
  </si>
  <si>
    <t>Santi Abascal ha vivido siempre del dinero público, no como Casado, Pedro Sánchez y Pablo Iglesias, que eran consultores en McKinsey.</t>
  </si>
  <si>
    <t>En una época en la que los HDLGP van de buenos, toca ser el malo. Y no pasa nada.</t>
  </si>
  <si>
    <t>El presidente de Murcia, Fernando López Miras, ha considerado que el presidente nacional del PP, Pablo Casado, visitará mañana Murcia no solo para arropar su candidatura de cara a las elecciones del próximo año, sino también "en rescate y auxilio" de los regantes.</t>
  </si>
  <si>
    <t>https://pbs.twimg.com/media/Dt0J-RFX4AELh-K.jpg</t>
  </si>
  <si>
    <t>andaluciasinVOX</t>
  </si>
  <si>
    <t>Los problemas de Casado , con la caja B del PP antes de Navidad via @El_Plural</t>
  </si>
  <si>
    <t>Por una Andalucia libre de fascismo</t>
  </si>
  <si>
    <t>laFM Radio</t>
  </si>
  <si>
    <t>Pablo Casado también quiere un emoji de la zambomba de Jerez en Whatsapp #emojizambomba</t>
  </si>
  <si>
    <t>http://www.la-fm.es/2018/12/07/pablo-casado-tambien-quiere-un-emoji-de-la-zambomba-de-jerez-en-whatsapp/</t>
  </si>
  <si>
    <t>https://pbs.twimg.com/media/Dt0G_S-WsAAFbaU.jpg</t>
  </si>
  <si>
    <t>Cádiz, España</t>
  </si>
  <si>
    <t>#Ahora, la radio. Somos #provincia de Cádiz. Tú tienes la palabra en teescuchamos@la-fm.es</t>
  </si>
  <si>
    <t>http://www.la-fm.es</t>
  </si>
  <si>
    <t>el_uron</t>
  </si>
  <si>
    <t>El memo de Pablo Casado dice que ya está bien de plantear cambios en la Constitución, pero al mismo tiempo quiere pactar con Vox en Andalucía, que quiere volar por los aires la Constitución. ¡Pero en manos de que políticos estamos! #tiempodepactosarv</t>
  </si>
  <si>
    <t>@Ana Ante LaNoche</t>
  </si>
  <si>
    <t>OJO!! CON ENTIDADES DIGITALES COMO ESTA Y 📺@publico_es A CIENTOS, EXPANDIENDO NOTICIAS FALSAS SOBRE ACUERDOS EN #Andalucia Si Casado excluye a Vox, si Cs reniega de Casado, Si Moreno, dice que no quiere el apoyo de Vox, Si PABLO 👇IGLESIAS junto a Escolar en 2011 ¿me fundo?SI RT @Diari_Public: "La menstruació no és el problema. El problema és qui menstrua en aquesta societat" Parlem amb Erika Irusta, creadora d' @elcaminorubi, un projecte des d'on desgrana els estudis clínics sobre la menstruació per apropar-los al gran públic. Per @QC_Cerezuela</t>
  </si>
  <si>
    <t>https://twitter.com/Diari_Public/status/1070944246943772673
https://www.publico.es/public/tabu-menstrual-continua-corrent-per-les-nostres-calces.html</t>
  </si>
  <si>
    <t>Málaga-España</t>
  </si>
  <si>
    <t>¿Quién serás esta noche,nostalgia de arrugas en el alma,para los que desprecian terrores y años vividos?Pajaro en el oscuro sueño, de tantas madrugadas</t>
  </si>
  <si>
    <t>Verónica Papelretro</t>
  </si>
  <si>
    <t>#TiempodepactosARV Ver a Pablo Casado defendiendo a ultranza la Constitución mientras en paralelo insta a Juanma Moreno a pactar la presidencia de la junta de Andalucía con un partido anticonstitucional, es una incongruencia preocupante.</t>
  </si>
  <si>
    <t>No me gustan las fronteras ni las banderas. Por un mundo multicultural. Hemos demostrado que si se puede ✊</t>
  </si>
  <si>
    <t>Zutano</t>
  </si>
  <si>
    <t>Pablo Casado está en mi Teruel. Uy.</t>
  </si>
  <si>
    <t>pepa vivas</t>
  </si>
  <si>
    <t>Este tema me interesa , mucho. --Pablo Casado inicia su giro liberal con Lasquetty como jefe de Gabinete  vía @elmundoes</t>
  </si>
  <si>
    <t>https://www.elmundo.es/espana/2018/12/07/5c099cb5fdddff55468b474e.html</t>
  </si>
  <si>
    <t xml:space="preserve">#VIVAESPAÑA </t>
  </si>
  <si>
    <t>#España !!! #UE</t>
  </si>
  <si>
    <t>Pablo Casado y Albert Rivera ayer celebraban el 40 aniversario de la Constitución y hoy negocian como romperla con Santiago Abascal, líder de ultraderecha anticonstitucionalista y antieuropea</t>
  </si>
  <si>
    <t>Nicolás Bote</t>
  </si>
  <si>
    <t>Plasencia, Extremadura, Spain</t>
  </si>
  <si>
    <t>La verdadera libertad no consiste en poder decir lo que se piensa, sino en poder pensar lo que se dice. http://facebook.com/nicolas.botesa…</t>
  </si>
  <si>
    <t>⏺️ De la máxima confianza de José María Aznar y Esperanza Aguirre ⏺️ Privatizó hospitales en Madrid Así es Javier Fernández-Lasquetty, el nuevo jefe de gabinete de Pablo Casado rescatado para "recuperar la esencia liberal" del PP</t>
  </si>
  <si>
    <t>https://pbs.twimg.com/media/Dt0AuwLXcAEJETP.jpg</t>
  </si>
  <si>
    <t>Islas Canarias</t>
  </si>
  <si>
    <t>Antonio Saldaña</t>
  </si>
  <si>
    <t>PABLO CASADO APOYA EL EMOJI “ZAMBOMBA DE JEREZ”</t>
  </si>
  <si>
    <t>https://pbs.twimg.com/media/Dt0Aj6UW0AAUMAZ.jpg</t>
  </si>
  <si>
    <t>Jerez de la Frontera</t>
  </si>
  <si>
    <t>Portavoz PP Jerez. Secretario General PP Cádiz.Ingeniero de Caminos de profesión y en politica por http://xn--vocacin-q0a.MBA y Grado en derecho.Vinimos a servir</t>
  </si>
  <si>
    <t>Creuat de Tabarnia ن</t>
  </si>
  <si>
    <t>El problema de Pablo Casado: si puedes votar a Ciudadanos o a Vox, ¿por qué vas a votar al PP? via @web_hispanidad</t>
  </si>
  <si>
    <t>https://www.hispanidad.com/confidencial/el-problema-de-pablo-casado-si-puedes-votar-a-ciudadanos-o-a-vox-por-que-vas-a-votar-al-pp_12006027_102.html</t>
  </si>
  <si>
    <t>Tabarnia (Espanya)</t>
  </si>
  <si>
    <t>"Acordaos de la palabra que yo os he dicho: No es el siervo mayor que su Señor, si a Mi me Han perseguido también a vosotros perseguirán" Juan 15:20</t>
  </si>
  <si>
    <t>Dra. Fabiana Lemos</t>
  </si>
  <si>
    <t>El exconsejero de Sanidad en Madrid, Fernández Lasquetty, nuevo jefe de gabinete de Pablo Casado</t>
  </si>
  <si>
    <t>https://www.diariomedico.com/politica/el-exconsejero-de-sanidad-en-madrid-fernandez-lasquetty-nuevo-jefe-de-gabinete-de-pablo-casado.html</t>
  </si>
  <si>
    <t>España, Salamanca y Madrid</t>
  </si>
  <si>
    <t>Médica #psicoterapeuta. Másteres en #psicoanálisis; en #psicología #clínica y #psicoterapia; en PC y PT en la #infancia y #adolescencia; en Psicoterapia #breve.</t>
  </si>
  <si>
    <t>http://drafabianalemos.com</t>
  </si>
  <si>
    <t>🌹Karma🌹🍀🐾☀️</t>
  </si>
  <si>
    <t>La ignorancia de Pablo Casado: no sabe qué es una República. 🤦‍♀️El presidente del PP vuelve a meter la pata al asemejar la República con un régimen no democrático.  vía @diario_16 Leer del art de @Docaparicio . Se confirma: "La ignorancia es atrevida".</t>
  </si>
  <si>
    <t>Zaragoza,  España</t>
  </si>
  <si>
    <t>Militante PSOE Agrupación Norte</t>
  </si>
  <si>
    <t>Karloto (Je suis M. Rajoy)</t>
  </si>
  <si>
    <t>Os imagináis el cortazo como especie que nos llevaríamos si buscando vida inteligente en este planeta, los extraterrestres abducen a Pablo Casado?</t>
  </si>
  <si>
    <t>Yo ese día no estuve allí, señor juez.</t>
  </si>
  <si>
    <t>no_pasaran#</t>
  </si>
  <si>
    <t>Mientras Merkel se marcha de la CDU para reforzar su partido y frenar el ascenso de la extrema-derecha, Pablo Casado celebra el monumental batacazo en Andalucia y no le importa pactar con los fascistas de VOX</t>
  </si>
  <si>
    <t>sevilla</t>
  </si>
  <si>
    <t>Luchador por un estado que sea eso un verdadero estado. Republicano y antifascista</t>
  </si>
  <si>
    <t>Hoy por hoy</t>
  </si>
  <si>
    <t>Si pensáis en Pablo Casado, Gabriel Rufián, Santiago Abascal, Albert Rivera, Pedro Sánchez o Pablo Iglesias... ¿De verdad creéis que este es un buen momento para reformar la Constitución? #LaPreguntaDelDía</t>
  </si>
  <si>
    <t>Cadena SER</t>
  </si>
  <si>
    <t>El programa líder de la radio española. De lunes a viernes, de 6:00 a 12:20h, en @La_SER. Dirigido por @PepaBueno y Toni @GarridoCoronado.</t>
  </si>
  <si>
    <t>http://www.hoyporhoy.es</t>
  </si>
  <si>
    <t>Mr. Nitro</t>
  </si>
  <si>
    <t>Esto es incluso peor que los masters falsos de Cristina Cifuentes y Pablo Casado. 😤 RT @FonsiLoaiza: Es vergüenza que desde las universidades se promueva el fascismo. En la Universidad Juan Carlos I tienes un descuento de 8.000€ si eres afiliado al partido fascista de @vox_es</t>
  </si>
  <si>
    <t>Almería, Andalucía</t>
  </si>
  <si>
    <t>Ingeniero informático 🎓 Programador Web 💻 Profesor de mates 📚 Fotografía 📷 Viajes 🚗 Conciertos 🎸 Senderismo 🏃 Marvel ⭐ Hearthstone 🎮 Metalcore 🎵</t>
  </si>
  <si>
    <t>http://nitronux.blogspot.com.es</t>
  </si>
  <si>
    <t>Sara Elvira Ibarz So</t>
  </si>
  <si>
    <t>Chus ....</t>
  </si>
  <si>
    <t>#Salamanca #Donostia</t>
  </si>
  <si>
    <t>Hoy estás dónde tus pensamientos te han traído ; mañana estarás dónde tus pensamientos te lleven Pause 😏</t>
  </si>
  <si>
    <t>Pablo Casado y Albert Rivera van a pactar con la ultraderecha, pero los argumentos con lo que intenta engañarnos ofenden a nuestra inteligencia.</t>
  </si>
  <si>
    <t>Pocas horas después de que el presidente del PP, Pablo Casado, excluyera a Vox de la negociación en Andalucía...</t>
  </si>
  <si>
    <t>https://www.huffingtonpost.es/2018/12/07/el-pp-ya-negocia-con-cs-un-acuerdo-en-andalucia-y-dice-que-vox-es-bienvenido_a_23611526/</t>
  </si>
  <si>
    <t>Redacción Médica</t>
  </si>
  <si>
    <t>#ElBisturí | Javier Fernández-Lasquetty entra en el equipo de @pablocasado_. @PPopular</t>
  </si>
  <si>
    <t>https://www.redaccionmedica.com/bisturi/javier-fernandez-lasquetty-entra-en-el-equipo-de-pablo-casado-2604</t>
  </si>
  <si>
    <t>https://pbs.twimg.com/media/DtzbPZgWsAAjWzV.jpg</t>
  </si>
  <si>
    <t>Periódico online con toda la actualidad del sector sanitario. #medicina #enfermería #farmacia #sanidad #salud #pacientes</t>
  </si>
  <si>
    <t>http://www.redaccionmedica.com</t>
  </si>
  <si>
    <t>Ruben Moreno</t>
  </si>
  <si>
    <t>Defender la #constitucion por @pablocasado_ @PPopular @constitucion40</t>
  </si>
  <si>
    <t>۞ Estrella Tartéssica ۞</t>
  </si>
  <si>
    <t>https://www.larazon.es/espana/defender-la-constitucion-por-pablo-casado-FP20854122</t>
  </si>
  <si>
    <t>Valencia, España</t>
  </si>
  <si>
    <t>Diputado por Valencia del @GPPopular en el @Congreso_Es de los Diputados; Vicepresidente de la Comisión de Ciencia, Innovación y Universidades #rübcartoon</t>
  </si>
  <si>
    <t>http://www.pp.es/ruben-moreno-palanques</t>
  </si>
  <si>
    <t>Si no eres antifascista eres fascista, y si eres fascista eres terrorista.</t>
  </si>
  <si>
    <t>Aitor Riveiro</t>
  </si>
  <si>
    <t>Pablo Casado repesca a Lasquetty, el aznarista y aguirrista que privatizó hospitales en Madrid y que huyó ante el empuje de la Marea Blanca</t>
  </si>
  <si>
    <t>Periodista a pesar de todo en @eldiarioes. Desaprendí casi todo lo que sé en El País. He escrito un libro sobre Podemos y sigo vivo http://libros.com/comprar/el-cie…</t>
  </si>
  <si>
    <t>https://t.me/AitorRiveiro</t>
  </si>
  <si>
    <t>proyectocosme</t>
  </si>
  <si>
    <t>Pablo Casado y la justicia española  vía @lakhlave</t>
  </si>
  <si>
    <t>https://scandallos.wordpress.com/2018/09/23/pablo-casado-y-la-justicia-espanola/</t>
  </si>
  <si>
    <t>Ingeniero Raditécnico Universidad Lomonosov Moscú Tecnólogo Industrial. Traductor Ruso-Español-Español Ruso Lic.Ciencias Pilíticas San Petersburgo</t>
  </si>
  <si>
    <t>http://www.tecnitrad.com</t>
  </si>
  <si>
    <t>David Fernández</t>
  </si>
  <si>
    <t>Pablo Casado nombra a Lasquetty como jefe de Gabinete. El mismo Lasquetty que dimitió como Consejero de Sanidad de la Comunidad de Madrid tras la paralización por parte del Tribunal Superior de Justicia del plan privatizador de la sanidad.</t>
  </si>
  <si>
    <t>Asturiano en Madrid. Ingeniero informático y, ahora, aprendiz de jurista. Hago el bien en @maldita_es / dfernandez@maldita.es</t>
  </si>
  <si>
    <t>http://www.naroh.es</t>
  </si>
  <si>
    <t>Federico</t>
  </si>
  <si>
    <t>Pablo Casado y Rivera se preparan hacer caja con los desganados andaluces. Ni votas, ni estudias, ni trabajas.</t>
  </si>
  <si>
    <t>Licenciado Historia y Geografia, universidad Deusto</t>
  </si>
  <si>
    <t>Radio Unión Tenerife</t>
  </si>
  <si>
    <t>A Casado se le pueden atragantar las uvas. Los problemas que deberá afrontar sobre la caja B del PP antes de Navidad</t>
  </si>
  <si>
    <t>Walter</t>
  </si>
  <si>
    <t>Escucho a Pablo Casado diciendo que Vox puede participar activamente o pasivamente absteniéndose y permitiendo el gobierno. Eso es mentira. Esta gente no para de mentir. Necesita el voto afirmativo de Vox en la investidura. PP+CS=47. Psoe+AA=50.</t>
  </si>
  <si>
    <t>POCOPELO</t>
  </si>
  <si>
    <t>Pablo Casado ficha como jefe de Gabinete a Javier Lasquetty, privatizador de la sanidad y hombre de Aznar y Aguirre</t>
  </si>
  <si>
    <t>https://www.eldiario.es/politica/Casado-Javier-Lasquetty-Aguirre-Gabinete_0_843415739.html</t>
  </si>
  <si>
    <t>Villa de las Ferias</t>
  </si>
  <si>
    <t>Si a pesar de la que está cayendo, votas PPSOE, mereces que te sigan porcularizando.</t>
  </si>
  <si>
    <t>http://verdeimagenta.blogspot.com/</t>
  </si>
  <si>
    <t>Asun</t>
  </si>
  <si>
    <t>Pablo Casado ficha como jefe de Gabinete a #JavierLasquetty, privatizador de la sanidad y hombre de Aznar y Aguirre  vía @eldiarioes</t>
  </si>
  <si>
    <t>Andalucía</t>
  </si>
  <si>
    <t>Huid de escenarios, púlpitos, plataformas y pedestales.... (A.Machado) No DM</t>
  </si>
  <si>
    <t>Adrián Lardiez</t>
  </si>
  <si>
    <t>A Casado se le pueden atragantar las uvas. En @El_Plural cuento los problemas que deberá afrontar sobre la caja B del PP antes de Navidad</t>
  </si>
  <si>
    <t>Periodista. Corresponsal parlamentario de @El_Plural . Máster en Análisis Político. ''Oléis eso? Huelo a cabrones... y a tinta''. Instagram: adrianlardiez</t>
  </si>
  <si>
    <t>http://www.elplural.com/users/adri-n-lardiez</t>
  </si>
  <si>
    <t>Cristina Martínez</t>
  </si>
  <si>
    <t>El presidente del PP, Pablo Casado, ha afirmado hoy que su único interlocutor en Andalucía es Ciudadanos, con el que quiere alcanzar un "acuerdo global" para acabar con el "régimen" socialista.  #PP #Casado #Necogiaciones #Cs</t>
  </si>
  <si>
    <t>https://www.msn.com/es-es/noticias/espana/casado-recula-y-dice-que-el-pp-solo-negociará-la-junta-con-cs/ar-BBQAJHA?ocid=spartandhp</t>
  </si>
  <si>
    <t>Sevilla, Andalucía</t>
  </si>
  <si>
    <t>🎓 Gestión &amp; Administración Pública. Cursando el #MasterTGD de la #BecaTALENTIc. Becaria en @INGENOSTRUM_. #Literatura 📖💡 #Comunicación 🎬 📲 #Blogger 💻📝</t>
  </si>
  <si>
    <t>http://www.acmartinez96.blogspot.com.es</t>
  </si>
  <si>
    <t>Manolo Coronel</t>
  </si>
  <si>
    <t>Diez frases que demuestran que Pablo Casado es un digno sucesor de Rajoy</t>
  </si>
  <si>
    <t>https://blogs.publico.es/strambotic/2018/12/frases-pablo-casado/</t>
  </si>
  <si>
    <t>Bonares (Huelva)</t>
  </si>
  <si>
    <t>Maestro de P.T. jubilado y bonariego desde hace 62 años.</t>
  </si>
  <si>
    <t>http://manolocoronel.blogspot.com.es/</t>
  </si>
  <si>
    <t>Paco Marhuender</t>
  </si>
  <si>
    <t>Aquí...esperando a que Pablo Casado, Arrimadas, Rivera, Teodoro y compañía nos digan que los terroristas franceses están gobernando en Francia debido a la violencia kale borroka que ejercen bla bla bla...</t>
  </si>
  <si>
    <t>pic.twitter.com/WMEK4B0dlp</t>
  </si>
  <si>
    <t>Oye, a ver...de verdad, esto me hace mucha gracia, no? y luego oye, PP malo y no. Oye es que ya está bien...de verdad.</t>
  </si>
  <si>
    <t>Jordi Cervera</t>
  </si>
  <si>
    <t>a qui hi posarà, a Pablo Casado? RT @naciopolitica: ÚLTIMA HORA @QuimTorraiPla demana canvis a Interior després de les càrregues dels Mossos a Girona i Terrassa</t>
  </si>
  <si>
    <t>https://twitter.com/naciopolitica/status/1070960260364558336
https://www.naciodigital.cat/noticia/168455/torra/demana/canvis/interior/despr/carregues/dels/mossos/girona/terrassa</t>
  </si>
  <si>
    <t>Periodista. Escriptor. De Reus. Autor de Serial Chicken, https://twitter.com/#!/bcnegra primera novel·la Twitter d'Europa. L'enigma Perucho Combel 2017</t>
  </si>
  <si>
    <t>http://blogs.ccma.cat/jordicervera</t>
  </si>
  <si>
    <t>DADDY MOU ®</t>
  </si>
  <si>
    <t>El renovado PP de Pablo Casado... 😂😂😂😂😂😂</t>
  </si>
  <si>
    <t>Madridista y Mourinhista. Hala Madrid y nada más!. 'Lo que piensen de mi, no es asunto mío' (Wayne Dyer)</t>
  </si>
  <si>
    <t>UCAR</t>
  </si>
  <si>
    <t>Unidad Cívica Andaluza por la República. Sin republicanos no hay República</t>
  </si>
  <si>
    <t>http://ucarsevilla.wordpress.com/</t>
  </si>
  <si>
    <t>Miguel B Casanova</t>
  </si>
  <si>
    <t>Los "Gemelos del Sur" pactarán con VOX, porque comparten muchas "ideas".Una de ellas es la #LeyMordaza Los vaivenes andaluces de PP y Ciudadanos con Vox via @El_Plural</t>
  </si>
  <si>
    <t>https://www.elplural.com/politica/pablo-casado-albert-rivera-santiago-abascal-vox-pacto-andalucia_207684102</t>
  </si>
  <si>
    <t>Marisa de Toro</t>
  </si>
  <si>
    <t>Plumilla en @ecd_ y en @confijudicial. Galicia, mi patria chica. Te quiero @atleti</t>
  </si>
  <si>
    <t>https://www.elconfidencialdigital.com/</t>
  </si>
  <si>
    <t>¿Diós y este nos quiere gobernar?</t>
  </si>
  <si>
    <t>Ramon Perea Garcia</t>
  </si>
  <si>
    <t>Ha Pablo Casado, se le ven las orejas con Vox; es un partido con el cual comparte ideas políticas.</t>
  </si>
  <si>
    <t>Balenyà, España</t>
  </si>
  <si>
    <t>juan herrero eraso</t>
  </si>
  <si>
    <t>Pedro Sánchez, Pablo Iglesias, Susana Díaz, Teresa Rodríguez, Casado, Rivera . Supongo que ustedes al igual que Quim torra Juraron Bandera , en su momento , yo la jure con 18 Años en Despacho , al no pasar la prueba médica ¿ Qué opinan que se debe de hacer ,</t>
  </si>
  <si>
    <t>La foto del perfil no es la mia , es la del padre Pio</t>
  </si>
  <si>
    <t>El Antídoto</t>
  </si>
  <si>
    <t>Pablo Casado ficha como jefe de Gabinete a Javier Lasquetty, privatizador de la sanidad y hombre de Aznar y Aguirre  vía @eldiarioes</t>
  </si>
  <si>
    <t>Cualquiera</t>
  </si>
  <si>
    <t>"Las palabras verdaderas no son agradables, las palabras agradables no son verdaderas" (Lao Zi)</t>
  </si>
  <si>
    <t>http://www.patxibarrondo.com</t>
  </si>
  <si>
    <t>Lola Pastur</t>
  </si>
  <si>
    <t>Pablo Casado anuncia que el PP bloqueará cualquier reforma de la Constitución  vía @elmundoes</t>
  </si>
  <si>
    <t>https://www.elmundo.es/espana/2018/12/06/5c093b02fc6c83177e8b456f.html</t>
  </si>
  <si>
    <t>No entiendo el mundo, pero tengo la suerte de entenderme a mi misma.</t>
  </si>
  <si>
    <t>Pablo Casado inicia su giro liberal con Lasquetty como jefe de Gabinete  vía @elmundoes</t>
  </si>
  <si>
    <t>Podemos Madrid</t>
  </si>
  <si>
    <t>Pablo Casado "pagando favores" a uno de los responsables de la privatización encubierta de la sanidad pública. Desprecian la sanidad, la educación, las pensiones...</t>
  </si>
  <si>
    <t>Cuenta oficial de Podemos Madrid</t>
  </si>
  <si>
    <t>https://madrid.podemos.info/</t>
  </si>
  <si>
    <t>¿Qué escenario veremos en Andalucía? De momento, así están las cosas. Por @cguzmanal</t>
  </si>
  <si>
    <t>Pilar H. Lucas</t>
  </si>
  <si>
    <t>El enemigo número 1 de la Sanidad pública, el exconsejero de Sanidad de la Comunidad de Madrid y aznarista Javier Fernández-Lasquetty, será el jefe de gabinete de Pablo Casado. Si este másterman llega al poder nos deja sin país #IlegalizaciónDelPP</t>
  </si>
  <si>
    <t>https://m.eldiario.es/politica/Casado-Lasquetty-hospitales-Madrid-PP_0_843416091.html</t>
  </si>
  <si>
    <t>Siempre he huido de las inercias porque no soporto aburrirme. Continúo buscando la intensidad vital. Confieso que he vivido varias vidas.</t>
  </si>
  <si>
    <t>Pedro Sánchez, Pablo Iglesias, Susana Díaz, Teresa Rodríguez, Casado, Rivera ¿ Por Qué motivo consideran que se han de dar el voto de confianza a los partidos secesionistas e independistas de Cataluña o a los suyos , en Vez de a VOX?</t>
  </si>
  <si>
    <t>Teresa García Sena</t>
  </si>
  <si>
    <t>Pablo Casado anuncia que el PP bloqueará cualquier reforma de la Constitución | España</t>
  </si>
  <si>
    <t>Candidata del PP Valencia al Congreso</t>
  </si>
  <si>
    <t>Pablo Casado inicia su giro liberal con Lasquetty como jefe de Gabinete</t>
  </si>
  <si>
    <t>Sita</t>
  </si>
  <si>
    <t>Igual todavía no sabéis cómo funciona esto, pero el mobiliario público y todo lo que estáis destrozando no lo paga Santiago Abascal, ni Susana Díaz, ni Pablo Iglesias, ni Carmena, ni Pedro Sánchez, ni Pablo Casado. Aunque no os llegue la factura a casa, LO PAGAMOS NOSOTROS.</t>
  </si>
  <si>
    <t>Provinciana secuestrada en Madrí. Muy cántabra. Aún queda algo de Cafeína.</t>
  </si>
  <si>
    <t>Aldo Gómez Caeiro</t>
  </si>
  <si>
    <t>Seguro que Pablo Casado o Albert Rivera va a intentar paralizar un desahucio lo reciben igual... Menudo termómetro RT @marubimo: Se nota que el político mejor valorado según el CIS, despierta "pasiones" a su paso entre la ciudadanía..... 🙈🙈🙈</t>
  </si>
  <si>
    <t>https://twitter.com/marubimo/status/1070727776725057537</t>
  </si>
  <si>
    <t>pic.twitter.com/xcfstQ1tcJ</t>
  </si>
  <si>
    <t xml:space="preserve">Toledo - Vilagarcía </t>
  </si>
  <si>
    <t>Galego, periodista en la SER. Ahora en Toledo, antes en Albacete, Madrid y Vilagarcía</t>
  </si>
  <si>
    <t>Pedro Sánchez, Pablo Iglesias, Susana Díaz, Teresa Rodríguez, Casado, Rivera Soy Cristiano , Monárquico , quiero para mi Patria seguridad de las fronteras y Paz para sus ciudadanos ¿Qué hacen sus partidos en esto ?</t>
  </si>
  <si>
    <t>Confidencial Judicial</t>
  </si>
  <si>
    <t>http://somosecd.com/jn_rh2</t>
  </si>
  <si>
    <t>https://pbs.twimg.com/media/DtzIb58W0AI-hVZ.jpg</t>
  </si>
  <si>
    <t>Confidencial Judicial. Noticias judiciales y sobre tribunales. Grupo @ecd_</t>
  </si>
  <si>
    <t>https://judicial.elconfidencialdigital.com/</t>
  </si>
  <si>
    <t>Pedro Sánchez, Pablo Iglesias, Susana Díaz, Teresa Rodríguez, Casado, Rivera No les he votado a ninguno de ustedes ,ni a sus partidos ¿Por qué debería de cambiar de opinión , votarles y defender su opción política?</t>
  </si>
  <si>
    <t>Madrid es Noticia</t>
  </si>
  <si>
    <t>Pablo Casado, sobre los candidatos en Madrid: "Tengo claro el perfil pero no están decididos los nombres". #Elecciones2019</t>
  </si>
  <si>
    <t>https://www.madridesnoticia.es/2018/12/casado-perfil-nombre-candidatos-madrid/</t>
  </si>
  <si>
    <t>El diario digital de referencia en la Comunidad de Madrid. | Actualidad, Opinión, Municipios, Cultura, Ocio, Tendencias, Deportes...</t>
  </si>
  <si>
    <t>http://www.madridesnoticia.es</t>
  </si>
  <si>
    <t>Castellano</t>
  </si>
  <si>
    <t>Defender la Constitución, por @PabloCasado_</t>
  </si>
  <si>
    <t>Graduado en Derecho. Leo♌️¡Del 91! En preparación continua. Tolerante. Democristiano. RT≠aprobación. Administración de Justicia ⚖️🇪🇸</t>
  </si>
  <si>
    <t>Pedro Sánchez, Pablo Iglesias, Susana Díaz, Teresa Rodríguez, Casado, Rivera ¿Por Qué motivo quienes le han dado el voto de confianza a ustedes o sus partidos, se lo han de dar de nuevo?</t>
  </si>
  <si>
    <t>Ernesto García-T.</t>
  </si>
  <si>
    <t>Pablo Casado se equivoca: su partido es el que pierde más en cualquier circunstancia, salvo en una situación de tripartito con VOX... Vamos a ver cuanto tardan PP y Cs en decidirse #FelizFinde RT @abc_es: Susana Díaz asegura que no se irá si no consigue la presidencia</t>
  </si>
  <si>
    <t>https://twitter.com/abc_es/status/1070943492757708800
http://ver.abc.es/3aou_2</t>
  </si>
  <si>
    <t>El Planeta Tierra</t>
  </si>
  <si>
    <t>Perfeccionista disperso. Mi estilo es muy de los 90, soy de la generación X. Algunas veces publico mis dibujos y mis fotos.</t>
  </si>
  <si>
    <t>https://ernestogtg.wordpress.com/</t>
  </si>
  <si>
    <t>Darth Vater</t>
  </si>
  <si>
    <t>"Liberal" a Willy......tan real como su master. Pablo Casado inicia su giro liberal con Lasquetty como jefe de Gabinete  vía @elmundoes</t>
  </si>
  <si>
    <t>Siento una perturbarcion en la fuerza ..... no vuelvo a comer en un chino</t>
  </si>
  <si>
    <t>Luis</t>
  </si>
  <si>
    <t>PABLO CASADO: Ahora solo quiere a Ciudadanos, y a Vox de palmero, para que aplauda sus ocurrencias en Andalucía. Veremos en qué queda la cuestión, ya que no hay nada seguro.</t>
  </si>
  <si>
    <t>Automated Pedreira</t>
  </si>
  <si>
    <t>Pablo Casado está preparando el</t>
  </si>
  <si>
    <t>ferreteria</t>
  </si>
  <si>
    <t>Sexo entre ancianos</t>
  </si>
  <si>
    <t>Quirico López Romero</t>
  </si>
  <si>
    <t>Vacuna efectiva si se cumple Pablo, pero no se cumple la constitución, ese es el problema.</t>
  </si>
  <si>
    <t>https://m.europapress.es/nacional/noticia-casado-defiende-constitucion-porque-mejor-vacuna-contra-radicalismo-populismo-nacionalismo-20181206120543.html</t>
  </si>
  <si>
    <t>Honor de ser español. antiguo caballero legionario paracaidista, y del Real Madrid.</t>
  </si>
  <si>
    <t>Jesus Carasa Moreno</t>
  </si>
  <si>
    <t>"Casado: PP y Cs pueden sumar, “en un año o seis meses”, mayoría absoluta." EL INDEPENDIENTE Amigo Pablo, ¡Pronto empiezas!. Esconde los dientes y ponte a trabajar.</t>
  </si>
  <si>
    <t>https://pbs.twimg.com/media/Dty5Ny_XgAErsZk.jpg</t>
  </si>
  <si>
    <t>Santander, España</t>
  </si>
  <si>
    <t>Pintor y Escritor</t>
  </si>
  <si>
    <t>Alfredo Díaz</t>
  </si>
  <si>
    <t>Se me ocurren varios nombres: Santiago Abascal, Pablo Casado, Albert Rivera o Billy El Niño. RT @publico_es: EXCLUSIVA | La comisaría Villa de Vallecas investiga quién puso un cartel de Vox en su "Sala de Breefing"  Por @tableroglobal</t>
  </si>
  <si>
    <t>https://twitter.com/publico_es/status/1070921849519796224
https://www.publico.es/politica/exclusiva-extrema-derecha-policial-comisaria-vallecas-investiga-puso-pancarta-vox-sala-breefing.html?utm_source=twitter&amp;utm_medium=social&amp;utm_campaign=publico</t>
  </si>
  <si>
    <t>Asesor de comunicación, guionista de 📺, creativo, jefe de prensa, 🚴‍♀️ y militante del🌹. Mis opiniones son mías, pero te las puedo prestar si me las devuelves.</t>
  </si>
  <si>
    <t>https://es.wikipedia.org/wiki/Sienra</t>
  </si>
  <si>
    <t>Manuel Aguilar 🎗</t>
  </si>
  <si>
    <t>Diario16</t>
  </si>
  <si>
    <t>#ADiestroYSiniestro | La ignorancia de Pablo Casado: no sabe qué es una República Por Santiago Aparicio</t>
  </si>
  <si>
    <t>Diario 16 Digital. Análisis, opinión, actualidad y más. Facebook: https://www.facebook.com/Diario16/ Telegram: https://t.me/Diario16Info</t>
  </si>
  <si>
    <t>http://www.diario16.com</t>
  </si>
  <si>
    <t>Mamen4949</t>
  </si>
  <si>
    <t>Para gente moderada ya tenemos a ciudadanos tampoco queremos un box pero si más contundentes que digan cómo van a arreglar la corrupción y qué medidas van a tomar</t>
  </si>
  <si>
    <t>https://www.lavanguardia.com/politica/20181206/453390318753/debate-pp-estrategia-vox-elecciones-andaluzas-pablo-casado.html</t>
  </si>
  <si>
    <t>JUAN PEDRO BURGOS</t>
  </si>
  <si>
    <t>HIGUERUELAS</t>
  </si>
  <si>
    <t>LIBERAL, DEL ATLETÍ,DEL P.P., PRESIDENTE FUNDADOR MANCOMUNIDAD LA SERRANIA,POLITICO AMATEUR, ExPRESIDENTE COMITE EMPRESA, COLUMNISTA, HUMANISTA...</t>
  </si>
  <si>
    <t>:// yo creo que la moderación la moderación hoy no va a ningún sitio tiene que darnos solución a la corrupción y qué medidas van a tomar</t>
  </si>
  <si>
    <t>http://www.lavanguardia.com/politica/20181206/453390318753/debate-pp-estrategia-vox-elecciones-andaluzas-pablo-casado.html?utm_campaign=botones_sociales&amp;utm_medium=social&amp;utm_source=twitter</t>
  </si>
  <si>
    <t>Diferencias entre los barones del PP sobre cómo afrontar el ascenso ultra @lavanguardia</t>
  </si>
  <si>
    <t>http://shr.gs/KzXg6Jj</t>
  </si>
  <si>
    <t>Pablo Casado aspira a gobernar España con Ciudadanos "en seis meses o un año" y dice que Vox "es más Trump que Le Pen"</t>
  </si>
  <si>
    <t>https://m.eldiario.es/politica/Casado-gobernar-Espana-coalicion-Ciudadanos_0_843415975.html</t>
  </si>
  <si>
    <t>EspañaActual</t>
  </si>
  <si>
    <t>Noticias de actualidad en España, última hora y reportajes.</t>
  </si>
  <si>
    <t>El Cubanisimo60</t>
  </si>
  <si>
    <t>Pablo Casado excluye ahora a Vox de la negociación y solo ve interlocutor a Cs Con Ciudadanos quiere alcanzar un "acuerdo global" para acabar con el "régimen" socialista Casado asegura que ya están "en marcha las conversaciones para este pacto",!!!</t>
  </si>
  <si>
    <t>https://pbs.twimg.com/media/DtyYBU-WwAU5rv7.jpg</t>
  </si>
  <si>
    <t>El Verger, España</t>
  </si>
  <si>
    <t>Soy ese PADRE que no me dejaron ser, todo mi existir va dedicado a mis 4 Hij@s, vean como quería educarles; Cristiano, del Barça y el PSOE Gracias a Dios ,!!!</t>
  </si>
  <si>
    <t>Casado, sobre Vox: “En estos momentos es más Trump que Le Pen” ,!!!  Enviado desde @updayESP</t>
  </si>
  <si>
    <t>https://www.lavanguardia.com/politica/20181206/453397937523/pablo-casado-vox-trump-le-pen-elecciones-andaluzas.html?facet=amp</t>
  </si>
  <si>
    <t>Darío Mateos</t>
  </si>
  <si>
    <t>Pablo Casado aspira a gobernar España con Ciudadanos "en seis meses o un año" y dice que Vox "es más Trump que Le Pen"  Vía @eldairioes</t>
  </si>
  <si>
    <t>https://www.eldiario.es/politica/Casado-gobernar-Espana-coalicion-Ciudadanos_0_843415975.html</t>
  </si>
  <si>
    <t>https://pbs.twimg.com/media/DtyBaCfXgAAXamd.jpg</t>
  </si>
  <si>
    <t>Entre Granada y Galicia</t>
  </si>
  <si>
    <t>Soy un Terminator, pero buena gente. Todo metal blandito, de izquierda, republicano, feminista y ateo.</t>
  </si>
  <si>
    <t>🎄Andrés🎄</t>
  </si>
  <si>
    <t>Un juego sobre Pablo Casado, por fin.</t>
  </si>
  <si>
    <t>22. Gafatonto que habla mucho de videojuegos, manga, series y cine. Me encanta escribir y dar MG. Detesto con toda mi alma a los fachas.</t>
  </si>
  <si>
    <t>http://alfinaleslodesiempre.wordpress.com</t>
  </si>
  <si>
    <t>Bit Media</t>
  </si>
  <si>
    <t>Pablo Casado comienza su viraje liberal con Lasquetty como jefe de Gabinete</t>
  </si>
  <si>
    <t>http://entretenimientobit.com/interes-general/pablo-casado-comienza-su-viraje-liberal-con-lasquetty-como-jefe-de-gabinete/?utm_campaign=twitter&amp;utm_medium=twitter&amp;utm_source=twitter</t>
  </si>
  <si>
    <t>Todo lo que ocurre en el mundo con noticias al instante para la comunidad hispanoparlante</t>
  </si>
  <si>
    <t>En Nuestra Plaza: De la EDITORIAL de El Pais "Ahora, Andalucía" a Pablo Casado: "Cualquier coalición es legítima, salvo con fuerzas que vulneran la Constitución" "Los partidos que claudiquen ante el programa de Vox estarán poniendo en riesgo su compromis…</t>
  </si>
  <si>
    <t>https://ift.tt/2RKUXmZ</t>
  </si>
  <si>
    <t>Francisco Rubira</t>
  </si>
  <si>
    <t>http://dlvr.it/Qt1qTX</t>
  </si>
  <si>
    <t>https://pbs.twimg.com/media/Dtx1z_LUcAA_5se.jpg</t>
  </si>
  <si>
    <t>Leading the business development at http://www.elconfidencialdigital.com frubira@elconfidencialdigital.com Working Hard. Party Hard. +34 617 116 766</t>
  </si>
  <si>
    <t>http://www.linkedin.com/in/frubira</t>
  </si>
  <si>
    <t>Christian Afonso</t>
  </si>
  <si>
    <t>En eso tiene razón, ahora mismo el @PPopular es más como Le Pen que Vox, aunque que este último se parezca a @realdonaldtrump también me genera taquicardia. En @lavanguardia  #España #Política</t>
  </si>
  <si>
    <t>http://shr.gs/k8XbZBF</t>
  </si>
  <si>
    <t>Entre Canarias y Quito</t>
  </si>
  <si>
    <t>Intento ser periodista desde #Quito gracias a @EFENoticias y #EFElaCaixa. Aquí opino, sin líneas editoriales. Antes, en @epdeportes y en @laprovincia_es.</t>
  </si>
  <si>
    <t>https://ift.tt/2E39dmW</t>
  </si>
  <si>
    <t>Klebam</t>
  </si>
  <si>
    <t>Pablo Casado ficha como jefe de Gabinete a Javier Lasquetty, privatizador de la sanidad y hombre de Aznar y Aguirre. #PorElCambiodelPP xDD</t>
  </si>
  <si>
    <t>Sin árboles, nadie viviría.Porque no hay conciencia de ciudad alguna.</t>
  </si>
  <si>
    <t>Maraad</t>
  </si>
  <si>
    <t>Seguimos con lo mismo, donde está la regeneración del PP, pues en la .... basura. Pablo Casado ficha como jefe de Gabinete a Javier Lasquetty, privatizador de la sanidad y hombre de Aznar y Aguirre -</t>
  </si>
  <si>
    <t>https://m.eldiario.es/324580bb_843415739/</t>
  </si>
  <si>
    <t>En una urna</t>
  </si>
  <si>
    <t>neus also noe ✌</t>
  </si>
  <si>
    <t>always oncoming</t>
  </si>
  <si>
    <t>Pablo Casado nunca hará nada por su país.,ni el Rivera, ni el Abascal, ni el Sánchez...Los únicos que podeis hacer algo para cambiar toda esta mierda sois todos los que os quedáis en casa a la hora de votar.</t>
  </si>
  <si>
    <t>KROSS</t>
  </si>
  <si>
    <t>Que hace Pablo Casado en el Chiringuito? @elchiringuitotv</t>
  </si>
  <si>
    <t>A Coruña, España</t>
  </si>
  <si>
    <t>RCD ~ MUCF</t>
  </si>
  <si>
    <t>jose antonio</t>
  </si>
  <si>
    <t>Pablo Casado defiende a VOX comparándolo con PODEMOS  vía @YouTube</t>
  </si>
  <si>
    <t>https://youtu.be/9Hg8oSA_BmY</t>
  </si>
  <si>
    <t>http://derechosocultosespana.blogspot.com.es/2018/05/mientras-no-consigamos-entre-todos-ese.html</t>
  </si>
  <si>
    <t>María Pilar Fernández Perez</t>
  </si>
  <si>
    <t>https://google.com/newsstand/s/CBIwxNPtkz4</t>
  </si>
  <si>
    <t>No me gustan las injusticias Anti pp anti c's a ti franquista</t>
  </si>
  <si>
    <t>Pablo Casado ficha como jefe de Gabinete a Javier Lasquetty, privatizador de la sanidad y hombre de Aznar y Aguirre.</t>
  </si>
  <si>
    <t>https://google.com/newsstand/s/CBIwoIvPkz4</t>
  </si>
  <si>
    <t>camfb</t>
  </si>
  <si>
    <t>pobreza energética</t>
  </si>
  <si>
    <t>Pablo Casado aspira a gobernar España con Ciudadanos "en seis meses o un año" y dice que Vox "es más Trump que Le Pen"  vía @eldiarioes</t>
  </si>
  <si>
    <t>https://m.eldiario.es/_324581a7</t>
  </si>
  <si>
    <t>El Correo de Pozuelo</t>
  </si>
  <si>
    <t>Vox condiciona la personalidad de los elegidos: Pablo Casado tiene “claro” el perfil de candidato que quiere en Madrid y Valencia pero dice que no tiene decididos los nombres</t>
  </si>
  <si>
    <t>https://elcorreodepozuelo.com/2018/12/07/vox-condiciona-la-personalidad-de-los-elegidos-pablo-casado-tiene-claro-el-perfil-de-candidato-que-quiere-en-madrid-y-valencia-pero-dice-que-no-tiene-decididos-los-nombres/</t>
  </si>
  <si>
    <t>https://pbs.twimg.com/media/DtxX-mXVsAAJz9p.jpg</t>
  </si>
  <si>
    <t>Pozuelo de Alarcón (Madrid)</t>
  </si>
  <si>
    <t>El periódico de El Capitán Possuelo. Cuenta oficial.</t>
  </si>
  <si>
    <t>http://www.elcorreodepozuelo.com</t>
  </si>
  <si>
    <t>Andrea Rodrimon</t>
  </si>
  <si>
    <t>Dice Pablo Casado que Vox es más Trump que Le Pen. Como si fuera algo maravilloso. Mira, yo ya.</t>
  </si>
  <si>
    <t>pic.twitter.com/4wYef9zLVw</t>
  </si>
  <si>
    <t>Getxo - Gijón</t>
  </si>
  <si>
    <t>Aún estoy escribiendo mi biografía</t>
  </si>
  <si>
    <t>https://pbs.twimg.com/media/DtwtE_-XQAIDmSU.jpg</t>
  </si>
  <si>
    <t>LexTresAbogados</t>
  </si>
  <si>
    <t>#DíaDeLaConstitución 🇪🇸 Defender la Constitución, por pablocasado_</t>
  </si>
  <si>
    <t>http://lrzn.es/mbk7h2</t>
  </si>
  <si>
    <t>https://pbs.twimg.com/media/DtxTmO4X4AA32gX.jpg</t>
  </si>
  <si>
    <t>#LexTresAbogados prestamos: #servicios de #auditoría #asesoramiento #legal #fiscal #Laboral #financiero y de #negocio con una clara #focalización #sectorial</t>
  </si>
  <si>
    <t>http://www.lextres.com</t>
  </si>
  <si>
    <t>#DíaDeLaConstitución 🇪🇸 Defender la Constitución, por @pablocasado_</t>
  </si>
  <si>
    <t>https://pbs.twimg.com/media/DtxRSxBXgAEKtHE.jpg</t>
  </si>
  <si>
    <t>MARTA CICUENDEZ</t>
  </si>
  <si>
    <t>Javier Fernández-Lasquetty, nuevo jefe de gabinete de Pablo Casado- Libertad Digital</t>
  </si>
  <si>
    <t>https://www.libertaddigital.com/espana/politica/2018-12-06/javier-fernandez-lasquetty-nuevo-jefe-de-gabinete-de-casado-1276629457/</t>
  </si>
  <si>
    <t>Recoletos, Madrid</t>
  </si>
  <si>
    <t>RR.PP.Publicidad..Política por vocación y herencia de mi padre MadrileñaMiembro Comité Ejecutivo del distrito de Salamanca .@PPopular..Instagram.marta-cicuendez</t>
  </si>
  <si>
    <t>Nadia Álvarez</t>
  </si>
  <si>
    <t>Magnífica noticia!!! 😊👏🏻👏🏻👏🏻Javier Fernández-Lasquetty, nuevo jefe de gabinete de Pablo Casado - Libertad Digital</t>
  </si>
  <si>
    <t>Diputada @PPAsamblea Portavoz de Mujer Coordinadora de Comisiones. Secretaria de Sectorial PP. Apasionada de la Rítmica. La vida es el mayor regalo, disfrútala!</t>
  </si>
  <si>
    <t>https://ppmadrid.es/</t>
  </si>
  <si>
    <t>María Duplá</t>
  </si>
  <si>
    <t>C's y @Albert_Rivera lamentará haber marcado una línea insalvable con VOX. Haga lo que haga, insultará a su electorado, y lo sabe. Pero si se alía con PSOE y Podemos se quedará en los huesos en las Generales y encumbrará a Pablo Casado. Lo que haga será crucial para su futuro.</t>
  </si>
  <si>
    <t>Estudiosa de la lógica progre; intento acercarla al público de derechas para que la entienda mejor. Teleco. Liberal. La verdad sobre la ideología, aunque duela.</t>
  </si>
  <si>
    <t>macaserma2</t>
  </si>
  <si>
    <t>Elecciones de nuevo? Biennnnnmnn! Más votos para #vox_es.... Que razón tenias @Santi_ABASCAL... Pp y ciudadanos son la derechita cobarde! Casado excluye ahora a Vox de la negociación y solo ve interlocutor a Cs  vía @rtve</t>
  </si>
  <si>
    <t>http://rtve.es/n/1849541</t>
  </si>
  <si>
    <t>Malagueña ... Andaluza...🇳🇬🇳🇬🇳🇬 Y al parecer fascista por sentirme muy Española. 🇪🇸 🇪🇸 🇪🇸...</t>
  </si>
  <si>
    <t>El Perro Verde (@javi)</t>
  </si>
  <si>
    <t>Casado recula y dice que el PP solo negociará la Junta con Cs  vía @20m</t>
  </si>
  <si>
    <t>https://www.20minutos.es/noticia/3510534/0/pablo-casado-recula-vox-andalucia-pactos-cs/?utm_source=twitter.com&amp;utm_medium=socialshare&amp;utm_campaign=mobile_web</t>
  </si>
  <si>
    <t>OVIEDO..........ASTURIAS......</t>
  </si>
  <si>
    <t>Hoy puede ser un gran día como dice la canción🌹🌹🌹 La vida ya es muy dura de por sí no pongas las cosas peor🌹🌹🌹 ¡¡ Y por fin sucedió ya es Historia !!.</t>
  </si>
  <si>
    <t>chuchoquehabla</t>
  </si>
  <si>
    <t>Diez frases que demuestran que Pablo Casado es un digno sucesor de Rajoy - Público</t>
  </si>
  <si>
    <t>Españistán Norte</t>
  </si>
  <si>
    <t>A mí no me mire,yo no voté al PP</t>
  </si>
  <si>
    <t>#Política: Pablo Casado y Albert Rivera buscan un acuerdo “de 47 escaños” para gobernar Andalucía. ¿Y #Vox?  vía @mundiario</t>
  </si>
  <si>
    <t>https://www.mundiario.com/articulo/politica/casado-ofrecer-consejerias-vox-excluirlo-negociacion/20181206212826140000.html</t>
  </si>
  <si>
    <t>Medicina Evolutiva</t>
  </si>
  <si>
    <t>http://dlvr.it/Qt1GW3</t>
  </si>
  <si>
    <t>https://pbs.twimg.com/media/DtxFK2LV4AA_cuS.jpg</t>
  </si>
  <si>
    <t xml:space="preserve">Hospital Español de México </t>
  </si>
  <si>
    <t>Somos un Centro especializado en el desarrollo y aplicación de terapéuticas integrales para el diagnóstico, tratamiento y prevención de cualquier enfermedad.</t>
  </si>
  <si>
    <t>http://www.medicinaevolutiva.com</t>
  </si>
  <si>
    <t>Joansinmiedo Antifascista</t>
  </si>
  <si>
    <t>https://www.eldiario.es/_324581a7</t>
  </si>
  <si>
    <t>Six Feet Under</t>
  </si>
  <si>
    <t>Keep extremely low expectations so you don’t get disappointed.</t>
  </si>
  <si>
    <t>Eduardo Martinez</t>
  </si>
  <si>
    <t>si no estás preparado para poder competir no compitas,disfruta mientras puedas , yo soy corredor popular</t>
  </si>
  <si>
    <t>ciudadano social</t>
  </si>
  <si>
    <t>Bizkaia, País Vasco</t>
  </si>
  <si>
    <t>Un ciudadano que al igual que la mayoría de este país quiere un cambio de políticas, que defiendan más a los ciudadanos de este maltrecho pais.</t>
  </si>
  <si>
    <t>https://shop.spreadshirt.es/camioriginal</t>
  </si>
  <si>
    <t>Mario López Barea</t>
  </si>
  <si>
    <t>Tan ajetreada agenda mundial ha provocado q a Gómez se le haya visto una decena d veces en el trabajo "Si fuera la mujer de Pablo Casado estaríamos hablando - como mínimo - de ‘cohecho impropio' Pero no hay escándalo: Begoña Gómez es la esposa d P Sánchez"</t>
  </si>
  <si>
    <t>https://www.periodistadigital.com/politica/gobierno/2018/12/06/begona-gomez-6-000-euros-de-nomina-mensual-de-una-empresa-en-la-que-no-trabaja.shtml#.XAmcDuT-I2g.twitter</t>
  </si>
  <si>
    <t>San Sebastián (Guipúzcoa-España), 1971</t>
  </si>
  <si>
    <t>http://ciudadania21.wordpress.com/</t>
  </si>
  <si>
    <t>jose mª luengo</t>
  </si>
  <si>
    <t>Si no empujamos no avanzamos</t>
  </si>
  <si>
    <t>Desiderio</t>
  </si>
  <si>
    <t>Valladolid</t>
  </si>
  <si>
    <t>Técnico de Archivos Licenciado en Filosofía y Letras (Historia Medieval)</t>
  </si>
  <si>
    <t>Alcalá de Henares, España</t>
  </si>
  <si>
    <t>José Luis Portela</t>
  </si>
  <si>
    <t>Gabriel cisneros, Miguel Herrero de Miñón, jose pedro perez-llorca, Gregorio peces barba, Jordi Solé, Manuel Fraga y Miguel Roca VERSUS Pedro Sánchez, Casado, Albert Rivera, Pablo Iglesias, Gabriel Rufián, Santiago Abascal, Joaquim Torra No digo mas... #ConstitucionEspanola</t>
  </si>
  <si>
    <t>Director Prog. Dirección Estratégica Proyectos IE Business School. Socio MAGTALENT. Profesor asociado Financial Times / IE. Interim Management Outplacement</t>
  </si>
  <si>
    <t>http://www.joseluisportela.com</t>
  </si>
  <si>
    <t>Manuel Asensio Segura</t>
  </si>
  <si>
    <t>Imaginaros,1)Pablo Casado, le hiciese ojitos al independentismo. 2) Negociase los PGE con Tejero. 3) Dijera que Otegui,es un hombre de estado. 4)No aceptase los resultados electorales.5)Los ERES. En España,N habría informativo,que no estuviese 24h. al día, criticando al PP.</t>
  </si>
  <si>
    <t>AbriendoLosOjos</t>
  </si>
  <si>
    <t>Seguramente Pablo Casado creerá que Platón es un planeta. RT @ArnaldoOtegi: Hoy he respondido a las constantes provocaciones de Pablo Casado con esta frase de Platón: "Los hombres sabios hablan porque tienen algo que decir. Los tontos hablan porque algo tienen que decir" #EuskalErrepublika</t>
  </si>
  <si>
    <t>https://twitter.com/ArnaldoOtegi/status/1070790091323383814</t>
  </si>
  <si>
    <t>Navarra/Nafarroa</t>
  </si>
  <si>
    <t>El propósito de los medios es crear opinión según la agenda del poder coorporativo (Chomsky). Desde la vieja Iruñea. Contrainformación y, también, opinión.</t>
  </si>
  <si>
    <t>Marta Trepat</t>
  </si>
  <si>
    <t>Pues les han felicitado Le Pen i el KluKluxKlan. Trump no. Ay, Pablito.</t>
  </si>
  <si>
    <t>https://www.lavanguardia.com/politica/20181206/453397937523/pablo-casado-vox-trump-le-pen-elecciones-andaluzas.html?utm_campaign=botones_sociales_app</t>
  </si>
  <si>
    <t>Barcelona</t>
  </si>
  <si>
    <t>Crazy in love with my new born country. Neta d'una de les autèntiques Teresines. En diem 'truita de patates' i de cap altra manera, que ens podria fer mal.</t>
  </si>
  <si>
    <t>Noemí Noguerol 🇪🇸</t>
  </si>
  <si>
    <t>Defender la Constitución, por @pablocasado</t>
  </si>
  <si>
    <t>Abogada mediadora, liberal convencida Me gustan los libros, la música, la informatica... Soy PRO-VIDA. http://damacristal84.wordpress.com</t>
  </si>
  <si>
    <t>http://foros.foxinver.com</t>
  </si>
  <si>
    <t>Pablo Casado ficha como jefe de Gabinete a Javier Lasquetty, privatizador de la sanidad y hombre de Aznar y Aguirre. !! Mira que idóneo, ya que VOX quiere acabar con la Sanidad pública !!</t>
  </si>
  <si>
    <t>Pablo Casado aspira a gobernar España con Ciudadanos "en seis meses o un año" y dice que Vox "es más Trump que Le Pen". !! Si, es como decir, es más cretino que necio !!</t>
  </si>
  <si>
    <t>ESPAÑA</t>
  </si>
  <si>
    <t>Leopoldo Pérez Díaz</t>
  </si>
  <si>
    <t>Celebro que @pablocasado_ excluya a #VOX de un posible acuerdo de gobierno en #Andalucía</t>
  </si>
  <si>
    <t>http://www.rtve.es/noticias/20181206/pablo-casado-excluye-ahora-vox-negociacion-solo-ve-interlocutor-cs/1849541.shtml</t>
  </si>
  <si>
    <t>Canarias</t>
  </si>
  <si>
    <t>Lcdo en CCII Dircom Comunicación Política e Institucional RRSS Opiniones personales. La libertad de prensa es la garantía de la Democracia</t>
  </si>
  <si>
    <t>currito_rojo</t>
  </si>
  <si>
    <t>La vida no vale nada si te quedas sentado</t>
  </si>
  <si>
    <t>Vicent Serra Primo</t>
  </si>
  <si>
    <t>Strambotic » Diez frases que demuestran que Pablo Casado es un digno sucesor de Rajoy</t>
  </si>
  <si>
    <t>Trompista. Musician. Melòman.</t>
  </si>
  <si>
    <t>https://youtu.be/6swgiM9vSEE</t>
  </si>
  <si>
    <t>InformesdlFrontera</t>
  </si>
  <si>
    <t>https://ift.tt/2zL8ROF</t>
  </si>
  <si>
    <t>T.E. Informática - Ciudadano de a pie Perfil de blog</t>
  </si>
  <si>
    <t>http://informedesdelafrontera.blogspot.com/</t>
  </si>
  <si>
    <t>Marian Romero</t>
  </si>
  <si>
    <t>👏👏👏 Pablo Casado anuncia que el PP bloqueará cualquier reforma de la Constitución  vía @elmundoes</t>
  </si>
  <si>
    <t>Licenciada en Derecho. Andaluza: jienensa por nacimiento y granaína por adopción. "La demagogia es la degradación de la democracia".</t>
  </si>
  <si>
    <t>S.N.A.F.M.T.A</t>
  </si>
  <si>
    <t>La verdad que Pablo Casado tiene un buen ostión con la sonrisilla esa todo el día.</t>
  </si>
  <si>
    <t>intentaron enterrarnos sin saber que éramos semillas EL FÚTBOL NO NOS GUSTA, EL ATLETI SI</t>
  </si>
  <si>
    <t>Camisetas Reivindica</t>
  </si>
  <si>
    <t>Camisetas Reivindicativas, Republicanas, Indignacion Social, Ecologistas, Feministas, Revolution, Defensa Animal y mucho mas...</t>
  </si>
  <si>
    <t>http://www.camisetas-reivindicativas.es</t>
  </si>
  <si>
    <t>o boriba ( el exilia</t>
  </si>
  <si>
    <t>Arnaldo Otegi</t>
  </si>
  <si>
    <t>Hoy he respondido a las constantes provocaciones de Pablo Casado con esta frase de Platón: "Los hombres sabios hablan porque tienen algo que decir. Los tontos hablan porque algo tienen que decir" #EuskalErrepublika</t>
  </si>
  <si>
    <t xml:space="preserve">Elgoibar, Euskal Herria </t>
  </si>
  <si>
    <t>Egin irribarre, irabaziko dugu! #independentzia Facebook: http://www.facebook.com/pages/8719600510/163381440341057 Instagram: a.otegi</t>
  </si>
  <si>
    <t>http://www.arnaldotegi.eus</t>
  </si>
  <si>
    <t>Jesús Jiménez</t>
  </si>
  <si>
    <t>El Messi de los que destrozan el Estado Social y Democrático de Derecho. Pablo Casado ficha como jefe de Gabinete a Javier Lasquetty, privatizador de la sanidad y hombre de Aznar y Aguirre -</t>
  </si>
  <si>
    <t>NANDO_MADRID🇪🇺🇪🇸</t>
  </si>
  <si>
    <t>Cada vez que veo a Pablo Casado hablar de una cosa o algo... Tiene esa mezcla de mini Aznar. Mini dictador. Y mi niño de colegio pijo.. que si algún día llega a ser presidente. Seguro que a mí me toca la lotería jajaja RT @Pablo_Iglesias_: Dice Pablo Casado que bloqueará cualquier intento de reformar la Constitución. Lo sentencia antes de escuchar propuesta alguna. Lo hace convencido de que nadie recordará cómo reformaron la Constitución en 2011, en agosto, sin debate público ni referéndum. #40AñosdeConstitución</t>
  </si>
  <si>
    <t>https://twitter.com/Pablo_Iglesias_/status/1070706854165168128</t>
  </si>
  <si>
    <t>https://pbs.twimg.com/media/DtvjNk4W4AA7gVr.jpg</t>
  </si>
  <si>
    <t>MADRID</t>
  </si>
  <si>
    <t>LO MEJOR QUE TENEMOS EN ESTE PAÍS ES LA LIBERTAD DE EXPRESIÓN. y en mi libertad tengo derecho a opinar y he equivocarme. Soy de mi patria soy de mi gente</t>
  </si>
  <si>
    <t>severs</t>
  </si>
  <si>
    <t>Casado recula y dice que el PP solo negociará la Junta con Cs -</t>
  </si>
  <si>
    <t>https://www.20minutos.es/noticia/3510534/0/pablo-casado-recula-vox-andalucia-pactos-cs/</t>
  </si>
  <si>
    <t>Intento ser coherente con lo que pienso, me gusta,musica,cine,politica y perderme en la naturaleza,en fin ,todo lo que me rodea no me es ajeno</t>
  </si>
  <si>
    <t>matrix 🇸🇪🎗❤️💛💜</t>
  </si>
  <si>
    <t>Para expulsar al PSOE de la Junta, la extrema derecha exige que Albert Rivera y Pablo Casado degraden Andalucía</t>
  </si>
  <si>
    <t>https://pbs.twimg.com/media/DtwypkDWoAAVEd4.jpg</t>
  </si>
  <si>
    <t>Republicana. Atea. Hasta el moño de las injusticias y la Postverdad</t>
  </si>
  <si>
    <t>Tiembla Andalucía: Vox desvela sus 10 exigencias a PP y Ciudadanos via @El_Plural  Para expulsar al PSOE de la Junta, la extrema derecha exige que Albert Rivera y Pablo Casado degraden Andalucía</t>
  </si>
  <si>
    <t>https://www.elplural.com/politica/vox-exige-a-pp-y-cs-que-andalucia-deje-de-ser-una-realidad-nacional_207636102</t>
  </si>
  <si>
    <t>Carca Aragonés</t>
  </si>
  <si>
    <t>Católico, español, aragonés. Carca Irreverente. Contrarrevolucionario. 185 años esperando al Rey Legítimo, Tengo paciencia pero si se me acaba me tiro al monte.</t>
  </si>
  <si>
    <t>https://bit.ly/2RcfHD6</t>
  </si>
  <si>
    <t>La #Sanidad de Madrid guarda un grato recuerdo de el 😂😂😂 Eh compis? 🙄🙄🙄 Javier Fernández-Lasquetty, nuevo jefe de gabinete de Pablo Casado</t>
  </si>
  <si>
    <t>virpb</t>
  </si>
  <si>
    <t>twitter me recomienda seguir a Pablo Casado...</t>
  </si>
  <si>
    <t>Outlier</t>
  </si>
  <si>
    <t>Jose Antonio Crespo</t>
  </si>
  <si>
    <t>Pablo Casado ficha como jefe de Gabinete a Javier Lasquetty, privatizador de sanidad y hombre de Aznar y Aguirre @CCOOSanidadMad @zupo21 @Criscano2010 @RosaCuadradoA @jjordan74 @rmuelasr @ignaciogomhor @SerFdezRu @davidrecarte @LuisMancerag  vía @eldiarioes</t>
  </si>
  <si>
    <t>Trabajador de Sanidad Publica de todos y para todos.</t>
  </si>
  <si>
    <t>Tercerarepublica</t>
  </si>
  <si>
    <t>Pablo Casado lleva meses diciendo que Pedro Sánchez no puede gobernar con 84 diputados de 350 (24%) y él quiere gobernar Andalucía con 26 de 109 (23,85%)😅</t>
  </si>
  <si>
    <t>3ª Republic Official Account.</t>
  </si>
  <si>
    <t>Almodis</t>
  </si>
  <si>
    <t>Pablo Casado defiende el pacto del PP con VOX</t>
  </si>
  <si>
    <t>https://www.ultimedia.com/api/meta/minifier/id/uz0x5r</t>
  </si>
  <si>
    <t>Interesada en el debate sanitario, ámbito en el que trabajo hace algunos años</t>
  </si>
  <si>
    <t>José Ignacio Macías</t>
  </si>
  <si>
    <t>Pablo Casado dice que Vox "es más Trump que Le Pen" . ¿Y eso es un merito?</t>
  </si>
  <si>
    <t>https://m.eldiario.es/324581a7_843415975/</t>
  </si>
  <si>
    <t>Marbella, España</t>
  </si>
  <si>
    <t>Como Cicerón, abogado, político y filósofo. No necesariamente por este orden</t>
  </si>
  <si>
    <t>Either Mark</t>
  </si>
  <si>
    <t>Pablo Casado aspira a gobernar España con Ciudadanos "en seis meses o un año" y Vox "es más Trump que Le Pen". ,"C's es centroizquierda". 😊  via @eldiarioes</t>
  </si>
  <si>
    <t xml:space="preserve">Catalunya </t>
  </si>
  <si>
    <t>Publicitat i RRPP a la l'UAB. Passió per les lletres, he escrit guions de documentals i contes. http://martinaettiennewordpress.wordpress.com//contes-magics</t>
  </si>
  <si>
    <t>Juan Pombar</t>
  </si>
  <si>
    <t>Para entender la magnitud del éxito de la Constitucion Española imaginad que hace 40 años se sentaron en la misma mesa Pablo Casado, Pedro Sánchez, Albert Rivera, Pablo Iglesias, Alberto Garzón, Gabriel Rufián y Santiago Abascal. Y llegaron a un acuerdo.</t>
  </si>
  <si>
    <t xml:space="preserve">Urantia </t>
  </si>
  <si>
    <t>Poeta en mis versos libres. Proyecto de optimista patológico. Doctorado en causas perdidas. Ciencia con piel de letra.</t>
  </si>
  <si>
    <t>http://www.pensamientosreducidos.es/</t>
  </si>
  <si>
    <t>Onda Cero Gijón</t>
  </si>
  <si>
    <t>La @exunta concede el 'Pegollu' de los XXXIII Premios Andrés Solar al Rector de UniOvi; y el 'Madreñazu' al "discurso del odio" del líder del PP, Pablo Casado</t>
  </si>
  <si>
    <t>https://pbs.twimg.com/media/Dtwnh2sWoAApBol.jpg</t>
  </si>
  <si>
    <t>Gijón</t>
  </si>
  <si>
    <t>Twitter oficial Onda Cero Gijón. Te informamos de todo lo que pasa cada día en #Gijón y #Asturias. Escúchanos en el 93.5 FM</t>
  </si>
  <si>
    <t>http://www.ondacero.es/emisoras/asturias</t>
  </si>
  <si>
    <t>JE Pacheco TX</t>
  </si>
  <si>
    <t>Viendo de nuevo el vídeo de Las tres mellizas de @FISTROMAN , Teresa me recuerda a Pablo Casado.</t>
  </si>
  <si>
    <t>https://pbs.twimg.com/media/DtwnTUfW0AAoSoL.jpg</t>
  </si>
  <si>
    <t>Palma, Mallorca</t>
  </si>
  <si>
    <t>Soy Jose PERO ME LLAMAN PACHECO.</t>
  </si>
  <si>
    <t>Alberto Martin</t>
  </si>
  <si>
    <t>Por favor, la gente que estaba hoy fuera del congreso ovacionando a Pablo Casado, Rajoy y Aznar 😂😂😂. Cuanto facha junto. Adivinar a quien han abucheado xD</t>
  </si>
  <si>
    <t>Campaspero - Valladolid</t>
  </si>
  <si>
    <t>Estudiante de Geología. 24 años. 🏳‍🌈🏳‍🌈 Pucelano. // La vida es corta… sonríele a quien llora, ignora a quien te critica y sé feliz con quien te importe.</t>
  </si>
  <si>
    <t>http://instagram.com/alber_1994</t>
  </si>
  <si>
    <t>Vozpópuli</t>
  </si>
  <si>
    <t>Pablo Casado: "Reformar la Constitución abre las puertas a la República"</t>
  </si>
  <si>
    <t>https://buff.ly/2Un3QVe</t>
  </si>
  <si>
    <t>El valor de ser libres y fiables.</t>
  </si>
  <si>
    <t>http://www.vozpopuli.com</t>
  </si>
  <si>
    <t>jose carlos curto</t>
  </si>
  <si>
    <t>Defender la Constitución, por Pablo Casado</t>
  </si>
  <si>
    <t>http://www.elindependiente.com</t>
  </si>
  <si>
    <t>Almonte</t>
  </si>
  <si>
    <t>Pasion por el Toro!!! El lunes de pentecostes. PP Almonte, PP Huelva. Gestor de Negocios Activo Inmobiliario en CaixaBank</t>
  </si>
  <si>
    <t>http://www.holatravelalmonte.es</t>
  </si>
  <si>
    <t>https://ift.tt/2QCOnRP</t>
  </si>
  <si>
    <t>JM</t>
  </si>
  <si>
    <t>El pasado es tan solo una historia que nos contamos Pablo Casado</t>
  </si>
  <si>
    <t>Madrid, ESPAÑA</t>
  </si>
  <si>
    <t>Charming</t>
  </si>
  <si>
    <t>Real Madrid 7 champions + 1 de Europa + 5 torneos de verano =13 champions, Gibraltar es británico y Catalunya es una república, poseo 18 Masters reconstruidos</t>
  </si>
  <si>
    <t>https://www.youtube.com/watch?v=z6pF1CwjKpA</t>
  </si>
  <si>
    <t>gsüs ℗ ƃǝ</t>
  </si>
  <si>
    <t>Pablo Casado ficha como jefe de Gabinete a Javier Lasquetty, privatizador de la sanidad y hombre de Aznar y Aguirre  no, si acabarán fichando a Bárcenas de tesorero y a Rato de mamporrero bancario</t>
  </si>
  <si>
    <t>40° 13′ 00″N 06° 52′ 00″W</t>
  </si>
  <si>
    <t>La vida da muchas vueltas y en la última te mueres 💜</t>
  </si>
  <si>
    <t>José Zalez</t>
  </si>
  <si>
    <t>Ojo, que Pablo Casado tiene suerte...  vía @ecd_</t>
  </si>
  <si>
    <t>https://www.elconfidencialdigital.com/articulo/el_chivato/ojo-pablo-casado-tiene-suerte/20181203185902118920.html</t>
  </si>
  <si>
    <t>A veces encuentro personas educadas y respetables que modulan mi actitud.</t>
  </si>
  <si>
    <t>Jordi Carbonell</t>
  </si>
  <si>
    <t>Este aprendiz de dictador sigue intentando blanquear la ultraderecha, Casado no engañas a nadie pero estas jugando con fuego maldito imbecil, esto te lo enseñaron el el máster?</t>
  </si>
  <si>
    <t>https://www.lavanguardia.com/politica/20181206/453397937523/pablo-casado-vox-trump-le-pen-elecciones-andaluzas.html?utm_campaign=botones_sociales_app&amp;utm_source=twitter&amp;utm_medium=social</t>
  </si>
  <si>
    <t>Orgullos del meu país Catalunya</t>
  </si>
  <si>
    <t>Furretillo</t>
  </si>
  <si>
    <t>Pedro Sánchez tiene que "tragar" con Susana Díaz pero Pablo Casado también tiene que hacerlo con Moreno Bonilla por mucho que nos cuente que es el gran triunfador de las elecciones andaluzas. ¡Es lo que toca!</t>
  </si>
  <si>
    <t>Furretillo,el azote de los imbéciles.</t>
  </si>
  <si>
    <t>Jacobo</t>
  </si>
  <si>
    <t>El PPOE continúa imparable con Pablo Casado. RT @manuel_llamas: Moreno Bonilla, acomplejado sorayesco de manual, rechaza cerrar Canal Sur, el chiringuito mediático del PSOE... La socialdemocracia imperante del PP, qué gran error!</t>
  </si>
  <si>
    <t>https://twitter.com/manuel_llamas/status/1070726907401039872</t>
  </si>
  <si>
    <t>Rivendel</t>
  </si>
  <si>
    <t>Jurista, lector, prefiere a su hacienda su tizona, y cree que el orco bueno es el orco muerto. Mis opiniones son exclusivamente personales y privadas.</t>
  </si>
  <si>
    <t>Agustinbotines 🏀📷 Cáceres</t>
  </si>
  <si>
    <t>Pablo Casado: "Reformar la Constitución abre las puertas a la República"  vía @voz_populi</t>
  </si>
  <si>
    <t>https://www.vozpopuli.com/_47601a30</t>
  </si>
  <si>
    <t>Caceres (España)</t>
  </si>
  <si>
    <t>De Cáceres (Extremadura) No se confunde quien pregunta, sino quien responde...</t>
  </si>
  <si>
    <t>http://m.agustinbotines.webnode.es/</t>
  </si>
  <si>
    <t>Núria Garrigós Perís</t>
  </si>
  <si>
    <t>según la situación geopolítica</t>
  </si>
  <si>
    <t>Scientia et indagatio...(Jefa de estudios de ESCUELA INTERNACIONAL DE CRIMINOLOGIA )- cuenta personal</t>
  </si>
  <si>
    <t>MARACAY24HRS ®</t>
  </si>
  <si>
    <t>Pablo Casado afirma que el PP buscará un acuerdo con Ciudadanos en Andalucía al que después se sume Vox</t>
  </si>
  <si>
    <t>http://dlvr.it/Qt0kFL</t>
  </si>
  <si>
    <t>Maracay, Aragua, Venezuela</t>
  </si>
  <si>
    <t>Compartimos todo sobre actividad en la Ciudad Jardín. Síguenos y envía un DM con tu mensaje #Sucesos #NoticiasNacionales #Deportes</t>
  </si>
  <si>
    <t>Diego de la Cruz</t>
  </si>
  <si>
    <t>Puede que haya pasado inadvertida la mejor noticia del día: el fichaje de Javier Fernández-Lasquetty como nuevo jefe de gabinete de Pablo Casado. Hace falta talento liberal en política y de eso va sobrado quien fue “cerebro” de FAES y consejero clave de Aguirre.</t>
  </si>
  <si>
    <t>💡 Emprendedor (CEO @FRInteligente) 🗞 Analista económico (Libre Mercado, esRadio) 📚 Escritor (#Porquésoyliberal, Planeta) 🖊 Profesor universitario (IE)</t>
  </si>
  <si>
    <t>http://www.diegosanchezdelacruz.com</t>
  </si>
  <si>
    <t>Agitador Trotskista</t>
  </si>
  <si>
    <t>Valencia  España</t>
  </si>
  <si>
    <t>Trotskista, republicano y ciudadano del mundo , resistiendo al sistema</t>
  </si>
  <si>
    <t>Yoda Republicano</t>
  </si>
  <si>
    <t>Vitoria-Gasteiz, Euskadi</t>
  </si>
  <si>
    <t>“El miedo es el camino hacia el Lado Oscuro, el miedo lleva a la ira, la ira lleva al odio, el odio lleva al sufrimiento. Veo mucho miedo en ti.” ⛔️🚫MD🚫⛔️</t>
  </si>
  <si>
    <t>https://www.youtube.com/channel/UCY60GBj-H8SmayRG1UgDVWw</t>
  </si>
  <si>
    <t>Celia Alberto Pérez</t>
  </si>
  <si>
    <t>Hoy más que nunca, nos toca defender un instrumento que nos ha dado 40 años de democracia y convivencia pacífica y que arrancó en un momento de la historia de España muy distinto al de hoy. Más...</t>
  </si>
  <si>
    <t>Fuerteventura</t>
  </si>
  <si>
    <t>Abogada</t>
  </si>
  <si>
    <t>julia</t>
  </si>
  <si>
    <t>Salvador Cegarra ✠</t>
  </si>
  <si>
    <t>Casado recula y dice que el PP solo negociará la Junta con Cs</t>
  </si>
  <si>
    <t>https://www.20minutos.es/noticia/3510534/0/pablo-casado-recula-vox-andalucia-pactos-cs?utm_source=twitter.com&amp;utm_medium=socialshare&amp;utm_campaign=mobile_app</t>
  </si>
  <si>
    <t>G C. Vivir sin Patria es lo mismo que vivir sin Honor. El silencio el amigo que jamás traiciona. Hace falta toda una vida para aprender a vivir esta.</t>
  </si>
  <si>
    <t>Ángel Manuel García</t>
  </si>
  <si>
    <t>“El problema de Pablo Casado: si puedes votar a Ciudadanos o a Vox, ¿por qué vas a votar al PP?” Por @eulogiolopez para @web_hispanidad</t>
  </si>
  <si>
    <t>Extremadura, Spain</t>
  </si>
  <si>
    <t>💻 Computer Engineering (@UDIMA) | 🗣 @relibertad @copealmendralej @ActonInstitute @ahorainformac @mises @NavarraConfiden | @clubdeviernes | Paleolibertarian</t>
  </si>
  <si>
    <t>http://www.amgarciac.es</t>
  </si>
  <si>
    <t>🎗 Тоni Pérez 🎗</t>
  </si>
  <si>
    <t>Nuevo partido: FU, Fascistas Unidos. Pablo Casado aspira a gobernar España con Ciudadanos "en seis meses o un año" y dice que Vox "es más Trump que Le Pen"</t>
  </si>
  <si>
    <t xml:space="preserve">Lleida,República de Catalunya </t>
  </si>
  <si>
    <t>“La Terra no l’heretem dels nostres pares, la prenem prestada dels nostres fills.“ #SomRepública #Llibertatpresospolitics</t>
  </si>
  <si>
    <t>https://spanishpolice.github.io/</t>
  </si>
  <si>
    <t>Chatipecadora</t>
  </si>
  <si>
    <t>Al ver a Pablo Casado hablando de la Constitución ante los periodistas y "dando lecciones", me ha venido una náusea a la garganta al recordar el comportamiento de AP/PP y la derecha española en aquellos años. De poco les sirve fantasear, aún muchos seguimos vivos y recordamos.</t>
  </si>
  <si>
    <t>Mujer, madre y luchadora, orgullosa de todo ello.</t>
  </si>
  <si>
    <t>#40AñosDeConstitución 📝 Defender la Constitución, por pablocasado_.</t>
  </si>
  <si>
    <t>http://lrzn.es/mbk7h7</t>
  </si>
  <si>
    <t>https://pbs.twimg.com/media/DtwZOMEXQAEZFZM.jpg</t>
  </si>
  <si>
    <t>#40AñosDeConstitución 📝 Defender la Constitución, por @pablocasado_.</t>
  </si>
  <si>
    <t>https://pbs.twimg.com/media/DtwW7OCWsAEXsT0.jpg</t>
  </si>
  <si>
    <t>Batman doctorando🎗Los Borbones son unos ladrones</t>
  </si>
  <si>
    <t>Pablo, imagino que salias de una fiesta con tu colega Albert...</t>
  </si>
  <si>
    <t>No tengo un master en URJC, pero teniendo un capital suficiente y un laboratorio adecuado podria ser Batman. Sheldon Cooper🖖</t>
  </si>
  <si>
    <t>Manu Mediavilla</t>
  </si>
  <si>
    <t>Pablo Casado ficha como jefe de Gabinete a Javier Lasquetty, privatizador de la sanidad y hombre de Aznar y Aguirre  @eldiarioes #IncomPPetentesAlPPoder</t>
  </si>
  <si>
    <t>Periosindicalista, ciudadano y 'tirituitero' independiente</t>
  </si>
  <si>
    <t>Chicha King</t>
  </si>
  <si>
    <t>Pablo Casado y sus fichajes (jefe de Gabinete a Javier Lasquetty, privatizador de la sanidad y hombre de Aznar y Aguirre) dan pistas sobre su orientación y tentación</t>
  </si>
  <si>
    <t>suave es cadencia</t>
  </si>
  <si>
    <t>Interesada en las cosas de la vida, cultura, política, economía. Para informarme, para comunicarme.</t>
  </si>
  <si>
    <t>Rosana Ibañez</t>
  </si>
  <si>
    <t>Cordoba</t>
  </si>
  <si>
    <t>Contenta con mi trabajo por la ayuda a los demás. Lee, curiosea, informate para que no te jueguen contigo. El respeto al derecho ajeno es la Paz.</t>
  </si>
  <si>
    <t>Militante participe</t>
  </si>
  <si>
    <t>Cada día más Militantes construyendo un PSOE del siglo XXI. Compañer@s luchando por un mundo mejor.🌹🌹🌹</t>
  </si>
  <si>
    <t>¿Qué le echarán al café en Génova?  Vía @Strambotic</t>
  </si>
  <si>
    <t>https://blogs.publico.es/strambotic/2018/12/frases-pablo-casado/?utm_source=twitter&amp;utm_medium=social&amp;utm_campaign=publico</t>
  </si>
  <si>
    <t>Pablo Casado dice que Vox "es más Trump que Le Pen" 😳 Ninguna de las dos opciones es ni esperanzadora ni ilusionante ni .... #mandahuevos</t>
  </si>
  <si>
    <t>Guadalupe Bragado</t>
  </si>
  <si>
    <t>Defender la Constitución, por Pablo Casado @pablocasado_</t>
  </si>
  <si>
    <t>Directora General de Formación Profesional y Enseñanzas Artísticas, Deportivas e Idiomas en Comunidad de Madrid...trabajando y siempre aprendiendo!! 🇪🇸</t>
  </si>
  <si>
    <t>http://www.madrid.org/fp</t>
  </si>
  <si>
    <t>Tu vecino</t>
  </si>
  <si>
    <t>maria de la navarra</t>
  </si>
  <si>
    <t>Pablo Casado tiene un discurso que se ha hecho viral. Se llama Mein Kamsina ETA. ...Está disponible gratis. Lo encontraras donde haya una foto suya con la boca abierta. Sirve para eventos oficiales, campañas, funerales, cumpleaños, pregones de pueblos, bautizos</t>
  </si>
  <si>
    <t>Vine a Twiter por una apuesta con un terrícola . La gané. Y ya no me fui.</t>
  </si>
  <si>
    <t>#Graphicdesign #Marketing #Neuromarketing #Contentmarketing #Web #SocialMedia #startup #SEO #Socialmediamarketing #digitalmarketing y #humor</t>
  </si>
  <si>
    <t>José Manuel García</t>
  </si>
  <si>
    <t>A Casado se le ve cada día más claro el bigote aznariano: Pablo Casado ficha como jefe de Gabinete a Javier Lasquetty, privatizador de la sanidad y hombre de Aznar y Aguirre  vía @eldiarioes</t>
  </si>
  <si>
    <t>https://www.20minutos.es/noticia/3510534/0/pablo-casado-recula-vox-andalucia-pactos-cs/?utm_source=twitter.com&amp;utm_medium=socialshare&amp;utm_campaign=desktop</t>
  </si>
  <si>
    <t>sam🎗️ bala #NoPassaràn !!*!! 🌹🔆 10💛+8❤️</t>
  </si>
  <si>
    <t>"Sin embargo, curiosamente, no se ha hablado en el programa, del repentino adelgazamiento que ha tenido el currículum de Albert Rivera o de las revelaciones de la Cadena SER sobre el caso Pablo Casado." RT @DigitalSevilla: Ana Rosa y Eduardo Inda nos hablan de plagios y de ética en Telecinco</t>
  </si>
  <si>
    <t>https://elpais.com/politica/2018/12/03/actualidad/1543847174_403261.html</t>
  </si>
  <si>
    <t>https://twitter.com/DigitalSevilla/status/1070739958653206528
https://buff.ly/2NIxzHK</t>
  </si>
  <si>
    <t>ESPERANT QUE REVENTIN ELS 155 GRANS DE PUS AL CUL DE LA MEVA REPÚBLICA , PAU I BON ROTLLO !!*!!🎗️#JosócCDR</t>
  </si>
  <si>
    <t>Rober Sánchez</t>
  </si>
  <si>
    <t>Jarrrrrr Ven que te vamos a largar otra vez Pablo Casado ficha como jefe de Gabinete a Javier Lasquetty, privatizador de la sanidad y hombre de Aznar y Aguirre  vía @eldiarioes</t>
  </si>
  <si>
    <t>De provincias</t>
  </si>
  <si>
    <t>Medicina de familia y alrededores: MBE, Salud Pública, Gestión Sanitaria, Política Sanitaria, Políticas Sociales. Un camino que dura toda una vida.</t>
  </si>
  <si>
    <t>http://1palabratuyabastaraparasanarme.blogspot.com.es/</t>
  </si>
  <si>
    <t>JoseR. 🏀✌️⚽️</t>
  </si>
  <si>
    <t>Ahora resulta que Pablo Casado va a ser el meno malo de los 3 partidos de derechas. Vaya cosas !!</t>
  </si>
  <si>
    <t>Puertollano y Ciudad Real</t>
  </si>
  <si>
    <t>Muy de la Real Sociedad y del Movistar Estudiantes. Cosecha del 73</t>
  </si>
  <si>
    <t>Noticias en Español</t>
  </si>
  <si>
    <t>Pablo Casado anuncia que el PP bloqueará cualquier reforma de la Constitución #40AñosDeConstitución</t>
  </si>
  <si>
    <t>https://buff.ly/2AWmWsv</t>
  </si>
  <si>
    <t>https://pbs.twimg.com/media/DtwNzBhW0AAPelr.png</t>
  </si>
  <si>
    <t>España y América</t>
  </si>
  <si>
    <t>Todas las noticias en español más importantes del día al alcance de tu dedo. Más últimas horas en @UnaUltimaHora.</t>
  </si>
  <si>
    <t>http://noticiarioespanol.com</t>
  </si>
  <si>
    <t>📰 Hoy en @larazon_es artículo del presidente @pablocasado_: 👉 “Defender la Constitución”. #40añosDeConstitución</t>
  </si>
  <si>
    <t>Madrid 24 horas</t>
  </si>
  <si>
    <t>Casado tiene “claro” el perfil de candidato que quiere en Madrid y Valencia pero dice que no tiene decididos los nombres  El presidente del PP, Pablo Casado, ha asegurado este jueves que tiene “claro” el perfil de candidatos que busca para las elecciones…</t>
  </si>
  <si>
    <t>https://ift.tt/2BW9aI3</t>
  </si>
  <si>
    <t>Notícias de Madrid, el glorioso Atlético de Madrid y el Real Madrid</t>
  </si>
  <si>
    <t>http://www.madriddigital24horas.com</t>
  </si>
  <si>
    <t>Carmen H🍀</t>
  </si>
  <si>
    <t>No me amenazes con irte, porque te pago el taxi.💪</t>
  </si>
  <si>
    <t>Pablo Casado ficha como jefe de Gabinete a Javier Lasquetty, privatizador de la sanidad y hombre de Aznar y Aguirre  vía @eldiarioes Lasquetty impulsó la privatización de seis hospitales en la Comunidad de Madrid y estuvo al frente de FAES</t>
  </si>
  <si>
    <t>República de Catalunya</t>
  </si>
  <si>
    <t>iscapla</t>
  </si>
  <si>
    <t>eljoioporculo</t>
  </si>
  <si>
    <t>#laconstitucionJelo @Juliaenlaonda ¿Os imagináis a Pablo Casado, Pedro Sánchez, Albert Rivera, Pablo Iglesias, Gabriel Rufián y Santiago Abascal pactando una Constitución? cortesia de @diostuitero</t>
  </si>
  <si>
    <t>pic.twitter.com/DaUKUlfS93</t>
  </si>
  <si>
    <t>ªLa ignorancia es la puerta a la manipulación"mío</t>
  </si>
  <si>
    <t>MARIANO RAJOY FAKE</t>
  </si>
  <si>
    <t>laSexta Noticias</t>
  </si>
  <si>
    <t>La dirigente del PSOE critica que Pablo Casado esté dispuesto a "cogobernar y darle consejerías" a la formación de Santiago Abascal.</t>
  </si>
  <si>
    <t>http://atres.red/nizq43</t>
  </si>
  <si>
    <t>El twitter de laSexta | Noticias. Te contamos todo lo que ocurre en el momento que ocurre.</t>
  </si>
  <si>
    <t>http://www.lasexta.com/noticias/</t>
  </si>
  <si>
    <t>Registrador de la propiedad. Muy español y mucho español.</t>
  </si>
  <si>
    <t>jugaletres</t>
  </si>
  <si>
    <t>Estamos como motos.(Pablo Casado después de las elecciones andaluzas) Pues ha perdido 7 diputados, cuando diga que están como un Ferrari será que sólo ha perdido 15. Jajaja que hipócrita</t>
  </si>
  <si>
    <t>ignacio regulez</t>
  </si>
  <si>
    <t>Pablo Casado ficha como jefe de Gabinete a Javier Lasquetty, privatizador de la sanidad publica de Madrid y hombre de Aznar y Aguirre  vía @eldiarioes</t>
  </si>
  <si>
    <t>Republicano , laico, defensor de los servicios públicos.Militante de Podemos. Mis opiniones son mías.</t>
  </si>
  <si>
    <t>Pablo Casado aspira a gobernar España con Ciudadanos "en seis meses o un año" y dice que Vox "es más Trump que Le Pen"  De lo cual se deduce que a Casado, le parece mejor Trump que Le Pen. Yo diría que tanto monta, monta tanto. Y encima, Trump gobierna...</t>
  </si>
  <si>
    <t>Pon Pim Pam Pum!</t>
  </si>
  <si>
    <t>Pensad que Pablo Casado cree que 'Le Pen', es lápiz en francés.</t>
  </si>
  <si>
    <t>https://pbs.twimg.com/media/DtwGLLPWoAAn3kc.jpg</t>
  </si>
  <si>
    <t>Jaen</t>
  </si>
  <si>
    <t>Reírte del problema nunca es el problema. Todos vamos a morir, anímate. https://twitter.com/ponpimpampum/t…</t>
  </si>
  <si>
    <t>David Sánchez</t>
  </si>
  <si>
    <t>Yo lo que digo es que si van a pactar en Andalucía PP y CS por que salen en la tele con este tema Rivera y Casado? Luego dicen que Pablo Iglesias es el dueño de Podemos, que si solo sale él...</t>
  </si>
  <si>
    <t>AQUÍ</t>
  </si>
  <si>
    <t>Amo la vida,amo el amor,soy un truhan,soy un señor algo bohemio y soñador...</t>
  </si>
  <si>
    <t>Mujeres por Derecho</t>
  </si>
  <si>
    <t>Pablo Casado ha manifestado su idea de derogar la Ley del Aborto, algo que ya intentó Gallardón en 2014 tras interponer un recurso ante el Tribunal Constitucional que aún está pendiente de resolver.</t>
  </si>
  <si>
    <t>https://m.eldiario.es/politica/Vox-violencia-LGTBI-propuestas-PP_0_842716530.html</t>
  </si>
  <si>
    <t>Requena, Valencia</t>
  </si>
  <si>
    <t>Asociación feminista para la defensa de los derechos de las mujeres buscando una igualdad real.</t>
  </si>
  <si>
    <t>http://mujeresporderecho.blogspot.com.es/</t>
  </si>
  <si>
    <t>PLENO SENADO</t>
  </si>
  <si>
    <t>Pablo Casado anuncia que el PP bloqueará cualquier reforma de la Constitución</t>
  </si>
  <si>
    <t>http://dlvr.it/Qt0Gky</t>
  </si>
  <si>
    <t>https://pbs.twimg.com/media/DtwFMFrUcAAb2uq.jpg</t>
  </si>
  <si>
    <t>Información NO OFICIAL del Senado de España. Sigue también a @PlenoMunicipal @PlenoProvincial @PlenoAutonomico @PlenoSenado @PlenoCongreso @PlenoEuropeo</t>
  </si>
  <si>
    <t>Diario CÓRDOBA</t>
  </si>
  <si>
    <t>RTn #Sanidad</t>
  </si>
  <si>
    <t>#Sanidad El exconsejero de Sanidad en Madrid, Fernández Lasquetty, nuevo jefe de gabinete de Pablo Casado</t>
  </si>
  <si>
    <t>https://ift.tt/2rma9em</t>
  </si>
  <si>
    <t>Noticias de #Medicina, #Sanidad, #Hospitales, #Enfermería</t>
  </si>
  <si>
    <t>http://triangol.agency</t>
  </si>
  <si>
    <t>Córdoba</t>
  </si>
  <si>
    <t>Cuenta oficial de Diario CÓRDOBA. Periódico líder en #Prensa y #Digital de #CórdobaESP. También en Facebook https://www.facebook.com/DiarioCORDOBA.es/</t>
  </si>
  <si>
    <t>http://www.diariocordoba.com</t>
  </si>
  <si>
    <t>laSexta</t>
  </si>
  <si>
    <t>El PP va a negociar con Ciudadanos en Andalucía</t>
  </si>
  <si>
    <t>http://atres.red/qrnqp2</t>
  </si>
  <si>
    <t>Todo el contenido de laSexta en nuestro perfil, en http://laSexta.com y en http://facebook.com/laSexta</t>
  </si>
  <si>
    <t>http://www.lasexta.com</t>
  </si>
  <si>
    <t>Hugo Z. Tabernush 🇬🇬  🇪🇸</t>
  </si>
  <si>
    <t>Nuevo jefe de gabinete de Pablo Casado</t>
  </si>
  <si>
    <t>https://www.libertaddigital.com/opinion/javier-fernandez-lasquetty/por-que-voy-a-votar-a-pablo-casado-85500/</t>
  </si>
  <si>
    <t>Barcelona #Tabarnia #RevolucionCharnega Delenda est Tractoria</t>
  </si>
  <si>
    <t>http://www.resistenciacatalana.es</t>
  </si>
  <si>
    <t>Antonio Peral Villar</t>
  </si>
  <si>
    <t>Alfonso Valle Castro</t>
  </si>
  <si>
    <t>España, está dominada y dirigida, por fascistas y por corruptos; expertos en todo tipo de saqueos; en amordazar al pueblo y en precarizar a las clases populares</t>
  </si>
  <si>
    <t>Alfonso Rojo López</t>
  </si>
  <si>
    <t>Pablo Casado: “En estos momentos, VOX es más Trump que Le Pen”</t>
  </si>
  <si>
    <t>Alicante (Spain)</t>
  </si>
  <si>
    <t>«No importa el camino que elijas, pero hazlo siempre con el corazón» (Confucio) ~ Presidente PP Alicante @AlicantePopular #ilusionPorElFuturo 🇪🇸 @PPopular</t>
  </si>
  <si>
    <t>http://antonioperal.blogspot.com</t>
  </si>
  <si>
    <t>http://www.periodistadigital.com/politica/partidos-politicos/2018/12/06/pablo-casado-en-estos-momentos-vox-es-mas-trump-que-le-pen.shtml</t>
  </si>
  <si>
    <t>Director de Periodista Digital. Cuenta Oficial</t>
  </si>
  <si>
    <t>http://www.periodistadigital.com</t>
  </si>
  <si>
    <t>http://ver.20m.es/vo6o13</t>
  </si>
  <si>
    <t>https://pbs.twimg.com/media/DtwB79qWoAACucg.jpg</t>
  </si>
  <si>
    <t>Cayetano González: "Javier Fernández-Lasquetty es una persona muy valiosa. Eso es lo que tiene que hacer un líder, rodearse de los mejores. Es un síntoma de la buena dirección por parte de Pablo Casado".</t>
  </si>
  <si>
    <t>GonzalVarvique</t>
  </si>
  <si>
    <t>Esta es una gran noticia. Pablo Casado no sabe que, probablemente, la única forma de parar a Vox es uniéndose a él. RT @elespanolcom: Casado excluye a Vox del acuerdo en Andalucía: "La negociación es con Cs"</t>
  </si>
  <si>
    <t>https://twitter.com/elespanolcom/status/1070703069237796865
https://www.elespanol.com/espana/politica/20181206/casado-excluye-vox-acuerdo-andalucia-negociacion-cs/358714839_0.html</t>
  </si>
  <si>
    <t>O God, I could be bounded in a nutshell and count myself a king of infinite space</t>
  </si>
  <si>
    <t>Javier Fernández-Lasquetty, nuevo jefe de gabinete de Pablo Casado 👉 Nos lo cuenta @montesinospablo en @esRadio  @libertaddigital</t>
  </si>
  <si>
    <t>https://esradio.libertaddigital.com/directo.html?utm_source=RADIO&amp;utm_medium=directo&amp;utm_campaign=menu
https://www.libertaddigital.com/espana/politica/2018-12-06/javier-fernandez-lasquetty-nuevo-jefe-de-gabinete-de-casado-1276629457/</t>
  </si>
  <si>
    <t>Pablo Casado elige a Javier Fernández-Lasquetty como jefe de gabinete</t>
  </si>
  <si>
    <t>http://www.periodistadigital.com/politica/partidos-politicos/2018/12/06/pablo-casado-elige-a-javier-fernandez-lasquetty-como-jefe-de-gabinete.shtml</t>
  </si>
  <si>
    <t>Elena Ruiz Peralta</t>
  </si>
  <si>
    <t>Mira q la Constitución es escuálida pero la van a dejar "esmirriá" stos cuervos: Pablo Casado ficha como jefe de Gabinete a Javier Lasquetty, privatizador de la sanidad y hombre de Aznar y Aguirre  via @eldiarioes</t>
  </si>
  <si>
    <t>Me parieron, luego existo. Antropología de la Salud. @csilesia. Salud comunitaria. Feminismos y otras ensaladas.</t>
  </si>
  <si>
    <t>http://vidasvivibles.wordpress.com</t>
  </si>
  <si>
    <t>http://dlvr.it/Qt05Vz</t>
  </si>
  <si>
    <t>https://pbs.twimg.com/media/Dtv7twsVsAAKChH.jpg</t>
  </si>
  <si>
    <t>http://ver.20m.es/vo6o12</t>
  </si>
  <si>
    <t>D.R. Lejarza</t>
  </si>
  <si>
    <t>Menudo elemento. Pablo Casado ficha como jefe de Gabinete a Javier Lasquetty, privatizador de la sanidad y hombre de Aznar y Aguirre  vía @eldiarioes</t>
  </si>
  <si>
    <t xml:space="preserve">Entre Bilbao y... Bilbao </t>
  </si>
  <si>
    <t>Cualquier parecido con la realidad es mera coincidencia</t>
  </si>
  <si>
    <t>Rosa María Artal💜</t>
  </si>
  <si>
    <t>Lasquetty¡¡ .. Pablo Casado ficha como jefe de Gabinete a Javier Lasquetty, privatizador de la sanidad y hombre de Aznar y Aguirre  vía @eldiarioes</t>
  </si>
  <si>
    <t>Periodista, escritora, europea, inconformista, tenaz, ciudadana del siglo XXI. Coordinadora de Reacciona. Columnista de http://eldiario.es</t>
  </si>
  <si>
    <t>http://rosamariaartal.wordpress.com/</t>
  </si>
  <si>
    <t>http://dlvr.it/Qt01lH</t>
  </si>
  <si>
    <t>https://pbs.twimg.com/media/Dtv4ChiVsAMkbid.jpg</t>
  </si>
  <si>
    <t>José Mª Palomeque</t>
  </si>
  <si>
    <t>MANUEL, PERDONE, PABLO IGLESIAS HARÁ LO MISMO QUE HIZO JULIO ANGUITA CUANDO NOS TRAJO A AZNAR 8 AÑOS, ESTE PROCURARÁ QUE GOBIERNE CASADO O RIVERA PORQUE NO PIUEDE PERMITIR QUE SEA EL PSOE QUIEN GOBIERNE. NO SE ENGAÑE SON COMO EL ESORPIÓN LO LLEVAN EN SU GENETICA. RT @grancocolio: Iglesias fantástico siempre diciendo la verdad. C’s.ha decidido unir su destino y su futuro a una fuerza de ultra derecha como es XOX y al PP. Esto es un problema para España.</t>
  </si>
  <si>
    <t>https://twitter.com/grancocolio/status/1070682195440926720</t>
  </si>
  <si>
    <t>pic.twitter.com/EiScugnZ25</t>
  </si>
  <si>
    <t>Fuengirola, Andalucía</t>
  </si>
  <si>
    <t>Desencantado de este país.</t>
  </si>
  <si>
    <t>estrelladigital.es</t>
  </si>
  <si>
    <t>#Andalucía | Pablo Casado, ha recalcado hoy que su único interlocutor en Andalucía es Ciudadanos. En @estrelladigital</t>
  </si>
  <si>
    <t>https://www.estrelladigital.es/articulo/espanha/casado-excluye-ahora-vox-negociacion-solo-ve-interlocutor-cs/20181206161131358961.html</t>
  </si>
  <si>
    <t>El primer diario digital en español.</t>
  </si>
  <si>
    <t>http://www.estrelladigital.es</t>
  </si>
  <si>
    <t>Jessy Brunos</t>
  </si>
  <si>
    <t>Pablo Casado excluye ahora a Vox de la negociación y solo ve interlocutor a Cs</t>
  </si>
  <si>
    <t>https://ift.tt/2Efox0x</t>
  </si>
  <si>
    <t>Una friki amante de tecnología, fútbol, moda y música ^.^ Y gracias a Twitter leo todo aquí ;D</t>
  </si>
  <si>
    <t>Andrés Novoa</t>
  </si>
  <si>
    <t>. Pablo Casado ficha como jefe de Gabinete a Javier Lasquetty, privatizador de la sanidad y hombre de Aznar y Aguirre</t>
  </si>
  <si>
    <t>Santa Cruz de Tenerife, España</t>
  </si>
  <si>
    <t>Moisès Trullàs</t>
  </si>
  <si>
    <t>Entrevista a Pablo Casado: ... —La Constitución arranca con el Big Band y hasta hoy. —Pero el Universo se expande y la Constitución está parada... —Eso mejor se lo preguntas a Stephen Hawking. —Está muerto. —Bueno, Franco también y yo hablo cada día con él. —No hay más preguntas.</t>
  </si>
  <si>
    <t>Manresa, Països Catalans</t>
  </si>
  <si>
    <t>Informàtic força informat i desacomplexadament independentista.</t>
  </si>
  <si>
    <t>Pedro Castro Vázquez</t>
  </si>
  <si>
    <t>Getafe</t>
  </si>
  <si>
    <t>Fue Alcalde del Ayuntamiento de Getafe, ciudad que ha ocupado y ocupa mi vida y mis pensamientos</t>
  </si>
  <si>
    <t>http://www.pedrocastro.es</t>
  </si>
  <si>
    <t>Madrid Directo OM</t>
  </si>
  <si>
    <t>🔴Directo desde Cª de San Jerónimo ⏲️ 17:30 📻@ondamadrid 101.3fm 🎤@MarioSandovalCOQUE le prepararía escabeche a Pedro Sánchez, cebiche a Pablo Iglesias, un asado a Pablo Casado y naranja Grand Manier a Albert Rivera 🔊  #DiaDeLaConstitución</t>
  </si>
  <si>
    <t>http://www.telemadrid.es/emision-en-directo-ondamadrid/</t>
  </si>
  <si>
    <t>https://pbs.twimg.com/media/Dtv1VIBWoAA6Qtp.jpg</t>
  </si>
  <si>
    <t>Onda Madrid, Madrid</t>
  </si>
  <si>
    <t>Madrid Directo en Onda Madrid con Nieves Herrero de lunes a viernes. 16:00 a 20:00 📻</t>
  </si>
  <si>
    <t>http://www.telemadrid.es/ondamadrid</t>
  </si>
  <si>
    <t>Luis de Cairo</t>
  </si>
  <si>
    <t>Segovia</t>
  </si>
  <si>
    <t>Nuestra generación tendrá que arrepentirse, no tanto de la maldad de la gente perversa como del pasmoso silencio de la gente buena.</t>
  </si>
  <si>
    <t>David Villa</t>
  </si>
  <si>
    <t>Feijóo defiende volver al discurso de la moderación e ir a la búsqueda del centro</t>
  </si>
  <si>
    <t>Mal, todo mal.</t>
  </si>
  <si>
    <t>Qué triste es la vida y que inseguro está aquel que necesita de la manipulación y la ofensa, aquel que intenta hacer ver que el contrario no es querido. Eso es lo que intenta Pablo Casado, como los naziz con sus perros en los campos, intimidando a los judíos. #YoConPedro</t>
  </si>
  <si>
    <t>https://pbs.twimg.com/media/DtvyY4dXgAIwlma.jpg</t>
  </si>
  <si>
    <t>Pilar Diz</t>
  </si>
  <si>
    <t>Me gusta cuando enarbolas porque estás como ausente, Pablo Casado. RT @pablocasado_: En el @PPopular enarbolamos nuestras señas de identidad de siempre y tenemos un proyecto ganador para recuperar la ilusión y el orgullo de ser miembros del mejor partido de España. Gracias por vuestras palabras, recibimiento y afecto. @Congreso_Es #40AñosDeConstitución</t>
  </si>
  <si>
    <t>https://twitter.com/pablocasado_/status/1070714511362002945</t>
  </si>
  <si>
    <t>https://pbs.twimg.com/media/DtvxK3qWoAEVWOK.jpg</t>
  </si>
  <si>
    <t>No soy real</t>
  </si>
  <si>
    <t>Antena3Noticias</t>
  </si>
  <si>
    <t>VÍDEO | Los expresidentes Aznar y Rajoy, y el líder del PP, Pablo Casado, juntos en un vídeo del PP por el #DiaDeLaConstitución #40AñosDeConstitución ▶</t>
  </si>
  <si>
    <t>http://atres.red/n7oik1</t>
  </si>
  <si>
    <t>Toda la actualidad en http://www.antena3.com/noticias/</t>
  </si>
  <si>
    <t>http://www.antena3.com/noticias/</t>
  </si>
  <si>
    <t>Pedro Jiménez García</t>
  </si>
  <si>
    <t>Llamadme loco pero a veces pienso que Pablo Casado es un infiltrado de Vox para dinamitar el PP. Habla más y mejor de ellos que de los suyos  Vía @La_SER</t>
  </si>
  <si>
    <t>http://cadenaser.com/ser/2018/12/06/politica/1544110445_063531.html</t>
  </si>
  <si>
    <t>Periodista en la Cadena SER. Redactor Jefe.</t>
  </si>
  <si>
    <t>Remedios Ramos #AdelanteAndalucia</t>
  </si>
  <si>
    <t>Pablo Casado ficha como jefe de Gabinete a Javier Lasquetty, privatizador de la sanidad y hombre de Aznar y Aguirre,el PP no quiere arreglar la Sanidad como ha vendido Bonilla en Andalucía,la quieren privatizar y necesitan fachas para ello  vía @eldiarioes</t>
  </si>
  <si>
    <t>Madre, Trabajadora de la Sanidad Pública, Comunista, de IU y Concejala del Ayuntamiento de Málaga por Málaga Para la Gente</t>
  </si>
  <si>
    <t>El líder popular llama a cerrar un acuerdo PP-Cs en Andalucía para que luego la formación ultraderechista decida si lo apoya</t>
  </si>
  <si>
    <t>https://www.lavanguardia.com/politica/20181206/453397937523/pablo-casado-vox-trump-le-pen-elecciones-andaluzas.html?utm_source=twitter_lv&amp;utm_medium=social</t>
  </si>
  <si>
    <t>Vicente Garcia Castro</t>
  </si>
  <si>
    <t>Muras, España</t>
  </si>
  <si>
    <t>Ciudadano. Ciberactivista. Derechos Humanos. Justicia Social.</t>
  </si>
  <si>
    <t>https://www.facebook.com/lacorruptecapublica/?ref=settings</t>
  </si>
  <si>
    <t>Rosa Cortés</t>
  </si>
  <si>
    <t>No sean patuosss, hablando del marido de la Tonka y no miran su relación!!! @RafaAraneda con La Marcela, ella es hermosa y se casó con él! @JPQueralto casado con su mujer, que es linda al lado de Juan Pablo!! La Daniela A. Es hermosa y casada con Valdivia que es feo! #LaMañana</t>
  </si>
  <si>
    <t>Diario de Teruel</t>
  </si>
  <si>
    <t>La Fuente Torán, lugar elegido para la presentación de los candidatos del PP por parte de Pablo Casado</t>
  </si>
  <si>
    <t>http://www.diariodeteruel.es/noticia.asp?notid=1010763&amp;secid=1#.XAlIvf6h13Q.twitter</t>
  </si>
  <si>
    <t>Provincia de Teruel</t>
  </si>
  <si>
    <t>Periódico que sigue el día a día de la provincia, sin olvidar dar una visión a lo que pasa en otros lugares. Internet nos abre la puerta a traspasar fronteras</t>
  </si>
  <si>
    <t>http://www.diariodeteruel.es</t>
  </si>
  <si>
    <t>ManuBalboa</t>
  </si>
  <si>
    <t>Esto es lo que le digo a Santiago Abascal, Pablo Casado, Albert Rivera y todos los votantes de partidos fascistas</t>
  </si>
  <si>
    <t>pic.twitter.com/HKoscjmWer</t>
  </si>
  <si>
    <t>Al final todo saldrá bien. Y si no sale bien, es que no es el final</t>
  </si>
  <si>
    <t>La Vanguardia</t>
  </si>
  <si>
    <t>Twitter oficial de 'La Vanguardia' Información al minuto nacional e internacional</t>
  </si>
  <si>
    <t>http://www.LaVanguardia.com</t>
  </si>
  <si>
    <t>Luis Castilla</t>
  </si>
  <si>
    <t>Javier Fernández-Lasquetty, nuevo jefe de gabinete de Pablo Casado. Aunque como ideólogo del partido, no hay nadie como Esperanza Aguirre. Una liberal auténtica de rompe y rasga! Velve Esperanza!</t>
  </si>
  <si>
    <t>https://pbs.twimg.com/media/Dtvro-_X4AMrGFp.jpg</t>
  </si>
  <si>
    <t>Economista Liberal, demócrata y patriota. Jubilado de banca, me dedico al cuidado de mis rosas, que aprendí en Inglaterra.</t>
  </si>
  <si>
    <t>Canarias7</t>
  </si>
  <si>
    <t>El líder del PP, Pablo Casado, ha advertido de que su partido utilizará su "mayoría de bloqueo" en el Congreso y su mayoría absoluta en el Senado.</t>
  </si>
  <si>
    <t>https://www.canarias7.es/nacional/casado-avisa-que-pp-bloqueara-cualquier-reforma-constitucional-que-haya-ahora-NL6085960</t>
  </si>
  <si>
    <t>Toda la información de Canarias a diario.</t>
  </si>
  <si>
    <t>http://www.canarias7.es</t>
  </si>
  <si>
    <t>Laura Cruz</t>
  </si>
  <si>
    <t>Toma a Trump como referente de algo dice mucho de Pablo Casado. RT @La_SER: Casado, sobre Vox: "Me parece que es más Trump que Le Pen"</t>
  </si>
  <si>
    <t>https://twitter.com/la_ser/status/1070706834330279936
http://cadenaser.com/ser/2018/12/06/politica/1544110445_063531.html</t>
  </si>
  <si>
    <t>https://pbs.twimg.com/media/DtvqKx0XcAIzcNl.jpg</t>
  </si>
  <si>
    <t>Journalist &amp; Image technician. Solía ser corresponsal desde Alemania. Colaboraciones en @GIMadrid @elSaltoDiario @ElEconomistaes y más. Ex @centrodramatico</t>
  </si>
  <si>
    <t>http://eleconomista.es/autor/Laura-Cruz-Berlin</t>
  </si>
  <si>
    <t>Pablo Iglesias</t>
  </si>
  <si>
    <t>Dice Pablo Casado que bloqueará cualquier intento de reformar la Constitución. Lo sentencia antes de escuchar propuesta alguna. Lo hace convencido de que nadie recordará cómo reformaron la Constitución en 2011, en agosto, sin debate público ni referéndum. #40AñosdeConstitución</t>
  </si>
  <si>
    <t>Padre. Secretario Gral. de @ahorapodemos y diputado en el Congreso. Profesor honorífico de la UCM. Nadie duda de que este país ya ha cambiado. ¡Sí se puede!</t>
  </si>
  <si>
    <t>http://podemos.info</t>
  </si>
  <si>
    <t>manuel llamas</t>
  </si>
  <si>
    <t>Fernández-Lasquetty, nuevo jefe de gabinete de Pablo Casado, por @montesinospablo  La elección de Casado no puede ser más acertada</t>
  </si>
  <si>
    <t>Periodista, redactor jefe de Economía de Libertad Digital y Libre Mercado, miembro del Instituto Juan de Mariana.</t>
  </si>
  <si>
    <t>http://www.libremercado.com/</t>
  </si>
  <si>
    <t xml:space="preserve">Barcelona </t>
  </si>
  <si>
    <t>Miguel Trinidad Arag</t>
  </si>
  <si>
    <t>Javier Fernández-Lasquetty, nuevo jefe de gabinete de Pablo Casado...Recuperar talento e ir apartando "rajoyanos" es recorrer el camino en la buena dirección.</t>
  </si>
  <si>
    <t>https://bit.ly/2KZIPMc</t>
  </si>
  <si>
    <t>Ingeniero, realista, riguroso, crítico.Amante de la lógica, la psicología social, la inteligencia emocional y las gentes con principios.Ex director de empresas</t>
  </si>
  <si>
    <t>Puerto de la Cruz</t>
  </si>
  <si>
    <t>2018-12-06 Elecciones 2D 2018. Pablo Casado excluye a Vox del acuerdo en Andalucía: "La negociación es con Cs". El presidente del PP limita el papel del partido de Abascal a apoyar un gobierno de cambio o, si no, a forzar una repetición de elecciones</t>
  </si>
  <si>
    <t>https://www.elespanol.com/espana/politica/20181206/casado-excluye-vox-acuerdo-andalucia-negociacion-cs/358714839_0.amp.html?__twitter_impression=true</t>
  </si>
  <si>
    <t>Libertad, igualdad, unidad, diversidad, autogobierno y gobierno compartido. En concreto: Federalismo plurinacional. Con tiempo, la utopía es realidad</t>
  </si>
  <si>
    <t>Inalterable</t>
  </si>
  <si>
    <t>Pablo Casado aspira a gobernar España con Ciudadanos "en seis meses o un año" y dice que Vox "es más Trump que Le Pen"  Vía @eldiarioes</t>
  </si>
  <si>
    <t>Pensamiento difuso #15M #DDHH #LuchaDeClases</t>
  </si>
  <si>
    <t>PP de Villena</t>
  </si>
  <si>
    <t>🇪🇸José M. Aznar, Mariano Rajoy, Pablo Casado y los hijos de Adolfo Suárez y Calvo Sotelo valoran juntos en un vídeo la importancia de la Constitución y de lo que supuso, junto a la transición, en el cambio político y social de nuestro país hace 40 años:</t>
  </si>
  <si>
    <t>https://ppvillena.com/2018/12/06/video-40-anos-de-constitucion-espanola/</t>
  </si>
  <si>
    <t>villena, Alicante</t>
  </si>
  <si>
    <t>Twitter oficial del Partido Popular de Villena.</t>
  </si>
  <si>
    <t>https://ppvillena.wordpress.com/</t>
  </si>
  <si>
    <t>diariomedico</t>
  </si>
  <si>
    <t>Javier Fernández-Lasquetty, nuevo jefe de gabinete de Pablo Casado, presidente del PP  Fue consejero de Sanidad de Madrid y lideró un frustrado proceso de privatización que gestó las 'mareas blancas' cc @PPopular @pablocasado_ @SaludMadrid</t>
  </si>
  <si>
    <t>http://bit.ly/2QdW0ig</t>
  </si>
  <si>
    <t>Periódico líder en #actualidad #sanitaria, referente en contenidos de #salud, dirigido a #médicos de todas las especialidades</t>
  </si>
  <si>
    <t>http://www.diariomedico.com</t>
  </si>
  <si>
    <t>News</t>
  </si>
  <si>
    <t>🇪🇸 Pablo Casado anuncia que el PP bloqueará cualquier reforma de la Constitución...</t>
  </si>
  <si>
    <t>http://notifeed.net/article/cf3236b071e88617601c67d82b7c1cab</t>
  </si>
  <si>
    <t>https://pbs.twimg.com/media/DtvoO2ZUUAEM0RZ.jpg</t>
  </si>
  <si>
    <t>worldwide</t>
  </si>
  <si>
    <t>feeds - breaking news 🗞️</t>
  </si>
  <si>
    <t>http://notifeed.net</t>
  </si>
  <si>
    <t>Live</t>
  </si>
  <si>
    <t>❌ Mientras el Gobierno apuesta por lo público y la Sanidad Universal. 👉Pablo Casado ficha como jefe de Gabinete a Javier Lasquetty, privatizador de la sanidad, hombre de Aznar y Aguirre. Privatizó la gestión de seis hospitales #GPEDROSC  vía @eldiarioes</t>
  </si>
  <si>
    <t>De izquierdas/Republicana/Luchadora.</t>
  </si>
  <si>
    <t>Dios</t>
  </si>
  <si>
    <t>¿Os imagináis a Pablo Casado, Pedro Sánchez, Albert Rivera, Pablo Iglesias, Gabriel Rufián y Santiago Abascal pactando una Constitución?</t>
  </si>
  <si>
    <t xml:space="preserve">De Madrid al Cielo </t>
  </si>
  <si>
    <t>Vengo de una familia desestructurada: madre virgen,padre paloma y durmiendo en un pesebre.Autor de La Biblia y Palabra de Dios Tuitero infodiostuitero@gmail.com</t>
  </si>
  <si>
    <t>http://www.megustaleer.com/libros/palabra-de-dios-tuitero/AG14848</t>
  </si>
  <si>
    <t>https://buff.ly/2KZqAqe</t>
  </si>
  <si>
    <t>Liberata Plaza</t>
  </si>
  <si>
    <t>Opinando.</t>
  </si>
  <si>
    <t>PartidoRepublicanoEs</t>
  </si>
  <si>
    <t>Pablo Casado aspira a gobernar España con Ciudadanos "en seis meses o un año" y dice que Vox "es más Trump que Le Pen"  vía @eldiarioes Bueno, de esto venimos y moción de censura, nada nuevo, ejemplos ; no aumento a pensionistas!</t>
  </si>
  <si>
    <t>Por una democracia real de iguales, dotada de pluralidad y participativa; con el objetivo del bien común sin olvidar nunca que el único soberano es el pueblo</t>
  </si>
  <si>
    <t>http://partidorepes.wordpress.com</t>
  </si>
  <si>
    <t>Iñigo S. Ugarte</t>
  </si>
  <si>
    <t>Pablo Casado, analista político.</t>
  </si>
  <si>
    <t>https://pbs.twimg.com/media/Dtvl9ncWsAAQyLL.jpg</t>
  </si>
  <si>
    <t>Periodista. I just do things.</t>
  </si>
  <si>
    <t>http://www.guerraeterna.com</t>
  </si>
  <si>
    <t>Pepa Lara</t>
  </si>
  <si>
    <t>Menudo cara dura! Pablo Casado: “Es el peor momento para reformas. Hay independentistas que quieren demoler España”  vía @elpais_espana</t>
  </si>
  <si>
    <t>https://elpais.com/politica/2018/11/28/actualidad/1543422955_026078.html?id_externo_rsoc=TW_CC</t>
  </si>
  <si>
    <t xml:space="preserve">España </t>
  </si>
  <si>
    <t>luna 🇪🇸</t>
  </si>
  <si>
    <t>Totalmente de acuerdo con Pablo Casado</t>
  </si>
  <si>
    <t>https://elpais.com/politica/2018/12/03/actualidad/1543847174_403261.amp.html?__twitter_impression=true</t>
  </si>
  <si>
    <t>Palma, España</t>
  </si>
  <si>
    <t>Española hasta la medula abstenerse de seguirme podemitas e independentistas</t>
  </si>
  <si>
    <t>Europa Press</t>
  </si>
  <si>
    <t>Pablo Casado buscará un pacto "global" con Cs que incluya la Mesa del Parlamento andaluz y la investidura de Moreno</t>
  </si>
  <si>
    <t>https://www.europapress.es/nacional/noticia-casado-quiere-pactar-ciudadanos-mesa-parlamento-andaluz-investidura-moreno-20181206161314.html</t>
  </si>
  <si>
    <t>Twitter oficial de la agencia de noticias Europa Press de Andalucía</t>
  </si>
  <si>
    <t>http://www.europapress.es/andalucia/</t>
  </si>
  <si>
    <t>https://ift.tt/2RCf7iF</t>
  </si>
  <si>
    <t>asunagullo</t>
  </si>
  <si>
    <t>La única vía que tiene el PP para no desaparecer es el rearme ideológico, para ello Javier Fernández-Lasquetty es un magnífico fichaje. Fernández-Lasquetty, nuevo jefe de gabinete de Pablo Casado, por @montesinospablo  vía @libertaddigital</t>
  </si>
  <si>
    <t>EL MUNDO</t>
  </si>
  <si>
    <t>https://trib.al/StbLYrX</t>
  </si>
  <si>
    <t>Cuenta oficial de EL MUNDO -YouTube http://bit.ly/2hBbolJ Celebración 40 años de la Constitución (📷EFE)</t>
  </si>
  <si>
    <t>http://www.elmundo.es/</t>
  </si>
  <si>
    <t>Dr. Mc Menri</t>
  </si>
  <si>
    <t>Un discurso nítido y de un sano sentido común; no cabe duda que Pablo Casado es un líder de buena referencia democrática a seguir. RT @PPopular: ▶@pablocasado_: "Nuestra Constitución sigue siendo el mejor muro de contención contra los enemigos de la libertad, contra el nacionalismo excluyente y contra el populismo". #40AñosDeConstitución</t>
  </si>
  <si>
    <t>https://twitter.com/PPopular/status/1070632065165488134</t>
  </si>
  <si>
    <t>https://pbs.twimg.com/media/DtumLyPU0AAc1jk.jpg</t>
  </si>
  <si>
    <t>Las Palmas, Islas Canarias</t>
  </si>
  <si>
    <t>MEDICO CUBANO. DEFENSOR DE LOS DDHH. EXPRESO DE CONCIENCIA DEL COMUNISMO CASTRÍSTA,1997. DESTERRADO A ESPAÑA EN1998. CIUDADANO CUBANO-ESPAÑOL Y DEL MUNDO.</t>
  </si>
  <si>
    <t>Clínica Vega</t>
  </si>
  <si>
    <t>#dermatologia El exconsejero de Sanidad en Madrid, Fernández Lasquetty, nuevo jefe de gabinete de Pablo Casado  diariomedico</t>
  </si>
  <si>
    <t>Clínica de Medicina y Cirugía Estética. Madrid y Terrassa. Más de 30 años de experiencia y dedicación. Contacta: Terrassa 630 836 251 · Madrid 600 569 095</t>
  </si>
  <si>
    <t>http://www.clinica-vega.com/</t>
  </si>
  <si>
    <t>Biotica</t>
  </si>
  <si>
    <t>El exconsejero de Sanidad en Madrid, Fernández Lasquetty, nuevo jefe de gabinete de Pablo Casado  #MicroBiología</t>
  </si>
  <si>
    <t>http://bit.ly/2QBkBNv</t>
  </si>
  <si>
    <t>Castellón - Spain</t>
  </si>
  <si>
    <t>Biótica, Bioquímica Analítica, S.L. is an innovating technology based company (ITBC), which develops fast techniques for the microbiological detection.</t>
  </si>
  <si>
    <t>http://www.biotica.es</t>
  </si>
  <si>
    <t>amplia-mente</t>
  </si>
  <si>
    <t>Medicina y Sociedad. “En la sociedad actual, el conocimiento te hará libre, no el trabajo”; Jelinek</t>
  </si>
  <si>
    <t>http://amplia-mente.com</t>
  </si>
  <si>
    <t>El exconsejero de Sanidad en Madrid, Fernández Lasquetty, nuevo jefe de gabinete de Pablo Casado  #saludMujer</t>
  </si>
  <si>
    <t>#CirugiaPlastica El exconsejero de Sanidad en Madrid, Fernández Lasquetty, nuevo jefe de gabinete de Pablo Casado  diariomedico</t>
  </si>
  <si>
    <t>Malove.</t>
  </si>
  <si>
    <t>Javier Fernández-Lasquetty, nuevo jefe de gabinete de Pablo Casado - Libertad Digital</t>
  </si>
  <si>
    <t>Vlld. España</t>
  </si>
  <si>
    <t>Vivir la vida a tope¡¡</t>
  </si>
  <si>
    <t>javi</t>
  </si>
  <si>
    <t>Os dejo la lista de todas las cosas que se han podido pagar gracias a lo que han cotizado trabajando al margen de la politica, Pablo Casado y Santi Abascal. - - - - - - - -</t>
  </si>
  <si>
    <t>Mas cabreado que un mono.</t>
  </si>
  <si>
    <t>Veo Info</t>
  </si>
  <si>
    <t>Pablo Casado aspira a gobernar España con Ciudadanos “en seis meses o un año” y dice que Vox “es más Trump que Le Pen”</t>
  </si>
  <si>
    <t>http://www.veoinfo.com/pablo-casado-aspira-a-gobernar-espana-con-ciudadanos-en-seis-meses-o-un-ano-y-dice-que-vox-es-mas-trump-que-le-pen/</t>
  </si>
  <si>
    <t>https://pbs.twimg.com/media/DtvcupkU0AAdP6n.jpg</t>
  </si>
  <si>
    <t>El Mundo</t>
  </si>
  <si>
    <t>En Veo Info - La Casa de la Información . Las últimas noticias sobre Política, sucesos, deportes, ciencia, tecnología, y mucho + en Veo Info.</t>
  </si>
  <si>
    <t>http://Veoinfo.com</t>
  </si>
  <si>
    <t>Octavi Nonell  ||⭐||</t>
  </si>
  <si>
    <t>Són de la mateixa raça Pablo Casado aspira a gobernar España con Ciudadanos "en seis meses o un año" y dice que Vox "es más Trump que Le Pen"  via @eldiarioes</t>
  </si>
  <si>
    <t>Mataró</t>
  </si>
  <si>
    <t>Mataroní, independentista de @CridaNacional Implicat en fer de @MataroCapital i de Catalunya Estat. 'Carpe Diem'-'Donec Perficiam' http://instagram.com/octavi_nonell</t>
  </si>
  <si>
    <t>http://matarocapital.cat</t>
  </si>
  <si>
    <t>RSS_Noticias</t>
  </si>
  <si>
    <t>Pablo Casado aspira a gobernar España en coalición con Ciudadanos "en seis meses o un año" , en tendencia viral desde December 06, 2018 at 02:53PM</t>
  </si>
  <si>
    <t>http://bit.ly/2RzwUXT</t>
  </si>
  <si>
    <t>hola(@)josemanuelrodos.es</t>
  </si>
  <si>
    <t>Noticias más compartidas/comentadas de medios españoles relevantes (El País, El Mundo, ABC, El Confidencial, http://eldiario.es). Por @josemanuelrodos.</t>
  </si>
  <si>
    <t>Paloma</t>
  </si>
  <si>
    <t>Pablo Casado ficha como jefe de Gabinete a Javier Lasquetty, privatizador de la sanidad y hombre de Aznar y Aguirre🤮🤮🤮</t>
  </si>
  <si>
    <t>Aranjuez</t>
  </si>
  <si>
    <t>Sonriendo....a pesar de todo ❤️😀💜</t>
  </si>
  <si>
    <t>Radio Nacional</t>
  </si>
  <si>
    <t>#40ConstitucionRTVE | @pablocasado_: "La Constitución es la mejor vacuna contra los radicalismos, el populismo y los nacionalismos". #40Constitucion 🔊</t>
  </si>
  <si>
    <t>http://rtve.es/a/4876445</t>
  </si>
  <si>
    <t>https://pbs.twimg.com/media/DtvYyOwWwAA6hdY.jpg</t>
  </si>
  <si>
    <t>El canal para conocer todas las noticias de la programación de Radio Nacional de España.</t>
  </si>
  <si>
    <t>http://www.rne.es/</t>
  </si>
  <si>
    <t>Pablo Casado afirma que el PP buscará un acuerdo con Ciudadanos en Andalucía al que después se sume Vox  vía @laSextaTV</t>
  </si>
  <si>
    <t>http://j.mp/2RE1MGy</t>
  </si>
  <si>
    <t>Leonor Mogio</t>
  </si>
  <si>
    <t>Volvemos a la vuelta de privatizarlo todo...estos miserables no pararan Pablo Casado ficha como jefe de Gabinete a Javier Lasquetty, privatizador de la sanidad y hombre de Aznar y...</t>
  </si>
  <si>
    <t>vive la vida de forma que cuando tus hijos piensen en justicia e integridad piensen en ti Activista Militante PSOE y la UGT</t>
  </si>
  <si>
    <t>http://eleanor-viviendo.blogspot.com/</t>
  </si>
  <si>
    <t>Nuevarevolucion.es</t>
  </si>
  <si>
    <t>Coplas de Mingo Revulgo, o de cómo Pablo Casado logró doblegar la naturaleza. Poesía de Javier Delgado Gallego @olduvay22</t>
  </si>
  <si>
    <t>https://nuevarevolucion.es/poesia-critica-coplas-de-mingo-revulgo-o-de-como-pablo-casado-logro-doblegar-la-naturaleza/</t>
  </si>
  <si>
    <t>Galiza-Madrid-Barcelona</t>
  </si>
  <si>
    <t>Periodismo alternativo. info@nuevarevolucion.es</t>
  </si>
  <si>
    <t>http://www.nuevarevolucion.es</t>
  </si>
  <si>
    <t>Mariela de Ulloa</t>
  </si>
  <si>
    <t>cuando todos los progretas y feminazis, todos menos los del PP, están felicitándose por el discurso de Ana Pastor, es síntoma de que Pablo Casado tiene que echarla pronto, a ella y a todos los dinosaurios rajoyescos...o VOX lo arrasará todo, y yo le votaré</t>
  </si>
  <si>
    <t>Algún lugar de la enmarañada galaxia hispánica</t>
  </si>
  <si>
    <t>«Lo más difícil de aprender en la vida es qué puente hay que cruzar y qué puente hay que quemar», Bertrand Russell NO MD 🤬</t>
  </si>
  <si>
    <t>tio chabó #StopTTIP ❤️💛💜</t>
  </si>
  <si>
    <t>https://ift.tt/2BVaZF8</t>
  </si>
  <si>
    <t>Burujon (Toledo)</t>
  </si>
  <si>
    <t>Luchando dia a dia contra el mal humor, republicano, de izquiedas y soñador. Te informo de lo que pasa diariamente. !!Salud y Republica!!......☭☭☭</t>
  </si>
  <si>
    <t>http://paper.li/lobo_solito/1343408781</t>
  </si>
  <si>
    <t>una vez más Ana Pastor demuestra la limpieza que tiene que hacer Pablo Casado en su partido de todos estos dinosaurios equidistantes amiguetes de Rajoy que intentan nadar y guardar la ropa, soplar y sorber a la vez...o los echas o VOX te echa a ti, espabila PP RT @LlopisMarta95: Una vez más Ana Pastor ha demostrado ser mejor Presidenta del Congreso que diputada del PP. Antepone los intereses generales a los de su partido, y eso es lo que exigimos a los representantes públicos. #40AñosDeConstitución</t>
  </si>
  <si>
    <t>https://twitter.com/LlopisMarta95/status/1070685465836208128</t>
  </si>
  <si>
    <t>pic.twitter.com/mS7gMNlO1j</t>
  </si>
  <si>
    <t>Pablo Casado ficha como jefe de Gabinete a Javier Lasquetty, privatizador de la sanidad y hombre de Aznar y Aguirre , en tendencia viral desde December 06, 2018 at 12:04PM</t>
  </si>
  <si>
    <t>http://bit.ly/2PjZ0od</t>
  </si>
  <si>
    <t>Alberto Moyano</t>
  </si>
  <si>
    <t>De la celebración de hoy en el Congreso, extraigo una conclusión: también Pedro Sánchez y Pablo Casado saldrán algún día de otros fastos charlando amigablemente.</t>
  </si>
  <si>
    <t>Donostia-San Sebastián</t>
  </si>
  <si>
    <t>Periodista en EL DIARIO VASCO. Despreocupado pero no indiferente.</t>
  </si>
  <si>
    <t>http://blogs.diariovasco.com/eljukebox</t>
  </si>
  <si>
    <t>Pablo Casado: "Reformar la Constitución abre las puertas a la República"  #40AñosDeConstitución</t>
  </si>
  <si>
    <t>https://buff.ly/2SzzhtZ</t>
  </si>
  <si>
    <t>Liverdades</t>
  </si>
  <si>
    <t>Pablo Casado aspira a gobernar España en coalición con Ciudadanos "en seis meses o un año"  vía @eldiarioes</t>
  </si>
  <si>
    <t>http://dlvr.it/QszNpj</t>
  </si>
  <si>
    <t>https://pbs.twimg.com/media/DtvV75WU4AA1OjH.jpg</t>
  </si>
  <si>
    <t>Medio digital de opinión política, filosófica y social. Tu opinión es lo más importante. En Facebook https://www.facebook.com/liverdades.es/</t>
  </si>
  <si>
    <t>http://liverdades.com/</t>
  </si>
  <si>
    <t>Berta García Bilbao</t>
  </si>
  <si>
    <t>Un vaso medio vacío de vino es también uno medio lleno, pero una mentira a medias, de ningún modo es una media verdad</t>
  </si>
  <si>
    <t>Agora Camp de Túria</t>
  </si>
  <si>
    <t>Pablo Casado aspira a gobernar España en coalición con Ciudadanos "en seis meses o un año"  Digital con información global y notícias periódicas de los municipios de San Antonio Benagéber, Eliana, Pobla de Vallbona, Bétera, Riba-roja, Benaguasil, Serra y …</t>
  </si>
  <si>
    <t>https://cronicadigitalcomarcalp.blogspot.com/2018/12/pablo-casado-aspira-gobernar-espana-en.html</t>
  </si>
  <si>
    <t>https://pbs.twimg.com/media/DtvU1tWWsAIy6K9.jpg</t>
  </si>
  <si>
    <t>Camp de Túria</t>
  </si>
  <si>
    <t>Notícies Camp de Túria</t>
  </si>
  <si>
    <t>http://cronicadigitalcomarcal.blogspot.com</t>
  </si>
  <si>
    <t>Juan José Calderón Amador</t>
  </si>
  <si>
    <t>CARCLOSA</t>
  </si>
  <si>
    <t>elige la cadena de la vida abc1chde2ghij...✘ⓔ-ⓝⓐⓤⓣⓐ, ⓔ-ⓜⓔⓝⓣⓔ Sevilla ★ blockchain ★ elearning ★Ⓐrⓣ ★ P2P ★ economy★HigherED ★ PhD student @fceyeUS @unisevilla</t>
  </si>
  <si>
    <t>https://medium.com/@eraser</t>
  </si>
  <si>
    <t>Bienvenido a la República Independiente de mi Twitter</t>
  </si>
  <si>
    <t>Agustín Almodóbar Barceló</t>
  </si>
  <si>
    <t>Defender la Constitución, por ⁦@pablocasado_⁩ hoy en ⁦@la razón_es⁩</t>
  </si>
  <si>
    <t>De Benidorm, paraíso en el que nací, vivo, lo disfruto y me vuelve loco. Senador del @PPopular por Alicante, Portavoz de Turismo del Grupo @PPSenado</t>
  </si>
  <si>
    <t>http://www.facebook.com/aalmodobar/</t>
  </si>
  <si>
    <t>Pablovolki</t>
  </si>
  <si>
    <t>Cuando a salido Pablo casado a saludar en el Congreso, he pensado, que ahora con el auge de vox, casado parece hasta más buena gente, ya no es el más facha de nuestro pais #40AñosDeConstitución</t>
  </si>
  <si>
    <t>Estudiando informática pero con la calma, amante de los videojuegos, el skate y el rock</t>
  </si>
  <si>
    <t>Jorge Urreta</t>
  </si>
  <si>
    <t>http://dlvr.it/QszLzK</t>
  </si>
  <si>
    <t>https://pbs.twimg.com/media/DtvUGqiVYAAPs49.jpg</t>
  </si>
  <si>
    <t>Asturias / Vizcaya</t>
  </si>
  <si>
    <t>Incansable #escritor de novelas de intriga. ¿Lo último? Venganza (@libroscom) http://jorgeurreta.com</t>
  </si>
  <si>
    <t>http://www.jorgeurreta.com</t>
  </si>
  <si>
    <t>TurboNoticias</t>
  </si>
  <si>
    <t>Sígueme si quieres estar al día de las últimas noticias de la red!!</t>
  </si>
  <si>
    <t>Marilomallo</t>
  </si>
  <si>
    <t>Pablo Casado aspira a gobernar España en coalición con Ciudadanos "en seis meses o un año"  Por @inigoaduriz</t>
  </si>
  <si>
    <t>https://pbs.twimg.com/media/DtvQMPgXgAEg8lE.jpg</t>
  </si>
  <si>
    <t>talkesi</t>
  </si>
  <si>
    <t>Para estas fechas...siempre hace un tiempo u otro</t>
  </si>
  <si>
    <t>Raul Cortes</t>
  </si>
  <si>
    <t>Las frases del digno sucesor de Rajoy Diez frases que demuestran que Pablo Casado es un digno sucesor de Rajoy - Público</t>
  </si>
  <si>
    <t>Santander</t>
  </si>
  <si>
    <t>Alérgico a la injusticia, siempre al lado de los más débiles. Convencido de que la política participativa, democrática y ética es posible y necesaria.</t>
  </si>
  <si>
    <t>http://raulcortes.blogspot.com</t>
  </si>
  <si>
    <t>Especial #40AñosDeConstitución Por pablocasado_ La Constitución de todos  Por Albert_Rivera Defender y actualizar nuestra Constitución</t>
  </si>
  <si>
    <t>http://heral.do/tuqez1
http://heral.do/z4gfa</t>
  </si>
  <si>
    <t>JLP</t>
  </si>
  <si>
    <t>Pablo Casado: “Es el peor momento para reformas. Hay independentistas que quieren demoler España”  vía @elpais_espana</t>
  </si>
  <si>
    <t>Madrid  España</t>
  </si>
  <si>
    <t>GUADARRAMA. No soporto a podemistas, ni separatistas. Bloq. a la de ya. La verdad te hará libre. Real Madrid en el corazón. 💓 Tabarnia y voto #PP</t>
  </si>
  <si>
    <t>Heraldo de Aragón</t>
  </si>
  <si>
    <t>Especial #40AñosDeConstitución Por @pablocasado_ La Constitución de todos  Por @Albert_Rivera Defender y actualizar nuestra Constitución</t>
  </si>
  <si>
    <t>Cuenta oficial de Heraldo de Aragón. Sigue toda la información de las tres provincias aragonesas http://facebook.com/heraldodearagon | http://instagram.com/heraldo_aragon</t>
  </si>
  <si>
    <t>http://www.heraldo.es</t>
  </si>
  <si>
    <t>susi alonso</t>
  </si>
  <si>
    <t>Noticias Cuatro</t>
  </si>
  <si>
    <t>Casado, sobre la Constitución: "Es la mejor vacuna contra el radicalismo, el populismo y el nacionalismo"</t>
  </si>
  <si>
    <t>http://bit.ly/2EhsaTB</t>
  </si>
  <si>
    <t>https://pbs.twimg.com/media/DtvK3x1WkAA82jG.jpg</t>
  </si>
  <si>
    <t>Mediaset España</t>
  </si>
  <si>
    <t>La redacción de noticias de @cuatro te cuenta la última hora y todas las novedades del día | http://www.facebook.com/noticiascuatro</t>
  </si>
  <si>
    <t>http://www.cuatro.com/noticias</t>
  </si>
  <si>
    <t>https://buff.ly/2RDZ5EW</t>
  </si>
  <si>
    <t>José A. Plaza</t>
  </si>
  <si>
    <t>Toma momento remember. El exconsejero de Sanidad de Madrid, Javier Fernández Lasquetty, nuevo jefe de gabinete de Pablo Casado en el PP  Las palabras más repetidas cuando fue consejero: #privatización y #MareasBlancas. Para gustos, colores</t>
  </si>
  <si>
    <t>https://www.larazon.es/espana/casado-ficha-a-un-hombre-de-aznar-para-frenar-a-vox-y-cs-HP20857505</t>
  </si>
  <si>
    <t>Periodista. Por curro, sanidad y ciencia. Por ocio, rock y basket. Siempre leer y escribir. En @diariomedico desde 2004. Vicepresido @acbiotecnologia. Opino yo</t>
  </si>
  <si>
    <t>http://quemecuentatwitter.blogspot.com.es/</t>
  </si>
  <si>
    <t>Me fascina como Pablo Casado o Esperanza Aguirre se niegan a llamar fascistas a Vox... pero lo que está pasando en Cataluña ES UN GOLPE DE ESTADO.</t>
  </si>
  <si>
    <t>Groucho Marx</t>
  </si>
  <si>
    <t>Temblando tienen que estar los trabajadores de @canalsur Pablo Casado, les acaba de decir a los periodistas que no se preocupen por el cierre que proponen sus socios fascistas. #40AñosDeConstitución #DíaDeLaConstitución</t>
  </si>
  <si>
    <t>Freedonia - Ciudad Gansa</t>
  </si>
  <si>
    <t>¿A quién va usted a creer, a mí o a sus propios ojos?</t>
  </si>
  <si>
    <t>Antonio FSE</t>
  </si>
  <si>
    <t>Estremecedor vídeo: Pablo Rivera y Albert Casado decidiendo cuál le come la polla a Abascal.</t>
  </si>
  <si>
    <t>pic.twitter.com/hrPR9Xnryk</t>
  </si>
  <si>
    <t>https://elpais.com/politica/2018/11/28/actualidad/1543422955_026078.html</t>
  </si>
  <si>
    <t>Soy más majo en persona que por Twitter. Y menos quejica #SocialMedia y #Poesía</t>
  </si>
  <si>
    <t>http://antoniofse.com/</t>
  </si>
  <si>
    <t>Informativos Telecinco</t>
  </si>
  <si>
    <t>.@pablocasado_ defiende que la #ConstituciónEspañola "es la mejor vacuna contra el radicalismo, el populismo y el nacionalismo"</t>
  </si>
  <si>
    <t>http://bit.ly/2BUIsQ4</t>
  </si>
  <si>
    <t>https://pbs.twimg.com/media/DtvDwn9W0AIgMSr.jpg</t>
  </si>
  <si>
    <t>Perfil oficial de Informativos Telecinco | http://www.facebook.com/InformativosTelecinco</t>
  </si>
  <si>
    <t>http://www.telecinco.es/informativos</t>
  </si>
  <si>
    <t>.@PabloCasado_ estará el sábado en #Murcia para avalar las candidaturas de @LopezMirasF y @Ballesta_Murcia.  @cope_murcia</t>
  </si>
  <si>
    <t>https://www.cope.es/n/305819</t>
  </si>
  <si>
    <t>Dani Valdivia</t>
  </si>
  <si>
    <t>La valoración de @ierrejon tras sus declaraciones de esta semana está subiendo mientras la de @Pablo_Iglesias_ sigue cayendo, ya situada a la par de Pablo Casado. El karma está persiguiendo a Iglesias.</t>
  </si>
  <si>
    <t>Dos Hermanas, Sevilla, España</t>
  </si>
  <si>
    <t>Politólogo en construcción. Sociólogo en formación. En la @pablodeolavide Me dejo caer en @elsalto_and</t>
  </si>
  <si>
    <t>https://www.elsaltodiario.com/elecciones-autonomicas/andalucia-se-encamina-hacia-las-urnas-campana-e</t>
  </si>
  <si>
    <t>Republican Woman</t>
  </si>
  <si>
    <t>No hace falta tener másters y carreras tipo Pablo Casado, Cristina Cifuentes... para saber perfectamente que la #ConstitucionEspanola está obsoleta, caducada, que hay que reformarla, y que los poderes del Estado se pasan el 90% de sus artículos por el forro. #40AñosdeConstitución</t>
  </si>
  <si>
    <t>pic.twitter.com/R3ES83UQ01</t>
  </si>
  <si>
    <t>Ejpaña Profunda</t>
  </si>
  <si>
    <t>Las instituciones y el poder que robaron al pueblo, ¿se podrán recuperar algún día? A veces se va mejor por una verea que por un camino.</t>
  </si>
  <si>
    <t>London, England</t>
  </si>
  <si>
    <t>Perru con gafes #Oficialidá</t>
  </si>
  <si>
    <t>#ContitucionARV De risa el Chani y el político del PP criticando vehementemente que Pablo Iglesias hable en nombre de la mayoría.... Joder si eso lo hacen a diario Pablo Casado y Albert Ribera, y eso no lo critican. En breves aparece alguno de estos dos demostrando lo que digo.</t>
  </si>
  <si>
    <t>Uviéu - ASTURIES</t>
  </si>
  <si>
    <t>Asturies ye´l mio país...L´asturianu la mio llingua...Soi llibre pensador y nacionaliegu. 💙💛</t>
  </si>
  <si>
    <t>MANUEL #YoConPedro ✊🌹</t>
  </si>
  <si>
    <t>Declaración de intenciones. 👇 Pablo Casado ficha como jefe de Gabinete a Javier Lasquetty, privatizador de la sanidad y hombre de Aznar y Aguirre. Lasquetty impulsó la privatización de seis hospitales en la Comunidad de Madrid y estuvo al frente de FAES.</t>
  </si>
  <si>
    <t>Sierra de Segura, Jaén</t>
  </si>
  <si>
    <t>Militante del PSOE (IZQUIERDA SOCIALISTA) 🔴. Republicano♥️💛💜. Ateo☠️. Animalista. #YoConPedro 🌹. NI OLVIDO, NI PERDONO 👊. RANCIOS no, gracias 💩.</t>
  </si>
  <si>
    <t>Diario Lírico</t>
  </si>
  <si>
    <t>#DiarioLirico.es • El director Pablo-Heras Casado es distinguido como 'Caballero de la…</t>
  </si>
  <si>
    <t>https://goo.gl/fb/FJiVMj</t>
  </si>
  <si>
    <t>redaccion@diariolirico.es</t>
  </si>
  <si>
    <t>http://www.diariolirico.es</t>
  </si>
  <si>
    <t>Francisco Cuaresma Poleo 🇪🇸</t>
  </si>
  <si>
    <t>Lasquetty es una persona preparada, con un gran nivel intelectual y con principios muy sólidos. ¡Qué gran noticia para el @PPopular! 👇🏻 "Fernández-Lasquetty, nuevo jefe de gabinete de Pablo Casado"</t>
  </si>
  <si>
    <t>Estudiante de Derecho en @UC3M. Amante de la política, la naturaleza y la historia. Liberal-Conservador. Entre Huelva​ y Madrid.</t>
  </si>
  <si>
    <t>http://instagram.com/fco_cp/</t>
  </si>
  <si>
    <t>Almudena Negro 🇪🇸 🇩🇪</t>
  </si>
  <si>
    <t>#Opinión ✏️ Defender la Constitución, por @PabloCasado_</t>
  </si>
  <si>
    <t>http://lrzn.es/mbk7h4</t>
  </si>
  <si>
    <t>https://pbs.twimg.com/media/Dtu7YOCXQAAGVgC.jpg</t>
  </si>
  <si>
    <t>#Periodismo #SocialMedia Transformación digital. Escéptica. Mis opiniones son mías. Muerdo. Coautora de #ContraLaSocialdemocracia. Ahora en @larazon_es.</t>
  </si>
  <si>
    <t>https://almudenanegro.wordpress.com/</t>
  </si>
  <si>
    <t>Pablo Casado rechaza "abrir en canal" la Constitución, la "mejor vacuna contra radicalismo, populismo y nacionalismo"  #40AñosDeConstitución</t>
  </si>
  <si>
    <t>http://bit.ly/2UjhCbr</t>
  </si>
  <si>
    <t>https://pbs.twimg.com/media/Dtu8iITXcAAEyLn.jpg</t>
  </si>
  <si>
    <t>Pablo Casado ficha como jefe de Gabinete a Javier Lasquetty, privatizador de la sanidad y hombre de Aznar y Aguirre  vía @eldiarioes La corrupción continúa!</t>
  </si>
  <si>
    <t>HINOJOS</t>
  </si>
  <si>
    <t>En España</t>
  </si>
  <si>
    <t>He vivido intensamente 78 años dedicados a mi familia y a mi país y sigo con la intención de disfrutar de lo mismo.</t>
  </si>
  <si>
    <t>Antonio Navia</t>
  </si>
  <si>
    <t>Pablo Casado. Sus Majestades los Reyes, acompañados de Su Alteza Real la Princesa de Asturias, Su Alteza Real la Infanta Doña Sofía y Sus Majestades los Reyes eméritos Don Juan Carlos y…</t>
  </si>
  <si>
    <t>https://www.instagram.com/p/BrC7v0BBh3I/?utm_source=ig_twitter_share&amp;igshid=xrkvi0fq6fzw</t>
  </si>
  <si>
    <t>Fotoperiodista con base en Madrid (España). © todos los derechos reservados</t>
  </si>
  <si>
    <t>http://www.antonionavia.com</t>
  </si>
  <si>
    <t>EH Bildu</t>
  </si>
  <si>
    <t>.@ArnaldoOtegi: "Pablo Casado le pone voz a la involución democrática que vive el Estado español. Ante la involución debemos prepararnos y sumar fuerzas, crear alianzas amplias, democráticas y de naturaleza antifascista". #EuskalErrepublika</t>
  </si>
  <si>
    <t>https://pbs.twimg.com/media/Dtu7rDCXQAIAc1H.jpg</t>
  </si>
  <si>
    <t>Ezkerreko indar subiranisten koalizioa</t>
  </si>
  <si>
    <t>http://ehbildu.eus</t>
  </si>
  <si>
    <t>https://www.instagram.com/p/BrC7rnwhFwq/?utm_source=ig_twitter_share&amp;igshid=1c44phrn6c9ih</t>
  </si>
  <si>
    <t>https://www.instagram.com/p/BrC7mEAhGTx/?utm_source=ig_twitter_share&amp;igshid=12u5mb23czvmh</t>
  </si>
  <si>
    <t>https://www.instagram.com/p/BrC7hEMBmud/?utm_source=ig_twitter_share&amp;igshid=1t9n9nv1o6ikj</t>
  </si>
  <si>
    <t>Cádiz</t>
  </si>
  <si>
    <t>http://dlvr.it/Qsyvxc</t>
  </si>
  <si>
    <t>https://pbs.twimg.com/media/Dtu5UoXUcAA8cCF.jpg</t>
  </si>
  <si>
    <t>moly</t>
  </si>
  <si>
    <t>Pablo Casado ficha como jefe de Gabinete a Javier Lasquetty, privatizador de la sanidad y hombre de Aznar y Aguirre -</t>
  </si>
  <si>
    <t>Vivo en las fosas marianas...</t>
  </si>
  <si>
    <t>un paseo x el mundo virtual es menos jodido q x el real...</t>
  </si>
  <si>
    <t>Fulgencio Perona</t>
  </si>
  <si>
    <t>Este sábado 8, el presidente del Partido Popular, Pablo Casado estará en Murcia, te esperamos!!! 🗓 Sábado, 8 de diciembre 🕛 12:00h. 📍 Teatro Circo Murcia #TodosConCasado #Seguimos!!!</t>
  </si>
  <si>
    <t>https://pbs.twimg.com/media/Dtu3bdyW0AUILx_.jpg</t>
  </si>
  <si>
    <t>Torreagüera, Murcia</t>
  </si>
  <si>
    <t>Diplomado en Asesoría Fiscal y Tributación Internacional / Alcalde-Presidente la Junta Municipal de Torreagüera / Presidente de #PopularesTorreagüera.</t>
  </si>
  <si>
    <t>https://m.facebook.com/fulgencio.peronapanos?refsrc=http%3A%2F%2Fwww.google.es%2F&amp;_rdr</t>
  </si>
  <si>
    <t>El malo de los Rat Pack</t>
  </si>
  <si>
    <t>#40AñosDeConstitución se imaginan un jefe de Estado como Sánchez o como Pablo Iglesias o Abascal o casado? Sinceramente ahora mismo prefiero tener una monarquía que aunque no han dado mucha escuela de clase estar ahí poniendo orden. No estamos preparados para otra cosa,así somos.</t>
  </si>
  <si>
    <t>Todo eso antes, era campo.</t>
  </si>
  <si>
    <t>http://elmalodelosratpack.blogspot.com</t>
  </si>
  <si>
    <t>Hispanidad</t>
  </si>
  <si>
    <t>El problema de Pablo Casado: si puedes votar a Ciudadanos o a Vox, ¿por qué vas a votar al PP?</t>
  </si>
  <si>
    <t>https://www.hispanidad.com/confidencial/el-problema-de-pablo-casado-si-puedes-votar-a-ciudadanos-o-a-vox-por-que-vas-a-votar-al-pp_12006027_102.html?utm_source=Twitter&amp;utm_medium=Social&amp;utm_content=Post</t>
  </si>
  <si>
    <t>Decano de la prensa digital española. Fundado el 20 de marzo de 1996</t>
  </si>
  <si>
    <t>http://www.hispanidad.com</t>
  </si>
  <si>
    <t>Niebla</t>
  </si>
  <si>
    <t>"Pablo Casado ficha como jefe de Gabinete a Javier Lasquetty, privatizador de la sanidad y hombre de Aznar y Aguirre"</t>
  </si>
  <si>
    <t>https://m.eldiario.es/politica/Casado-Javier-Lasquetty-Aguirre-Gabinete_0_843415739.amp.html</t>
  </si>
  <si>
    <t>Una mujer</t>
  </si>
  <si>
    <t>Inmoavery.com</t>
  </si>
  <si>
    <t>Por N. Junquera y José M. Romero:Pablo Casado: “Es el peor momento para reformas. Hay independentistas que quieren demoler España”:  vía @elpais_espana</t>
  </si>
  <si>
    <t>Marbella . España .</t>
  </si>
  <si>
    <t>*Información especializada en general .ESPAÑA 1º.</t>
  </si>
  <si>
    <t>http://www.inmoavery.com</t>
  </si>
  <si>
    <t>Marina</t>
  </si>
  <si>
    <t>#40AñosDeConstitución para ésto. Combatir a Vox o cuidar a Vox. Debate en el PP. Lo cuenta @CarmendelRiego en @LaVanguardia.</t>
  </si>
  <si>
    <t>España. Sevilla</t>
  </si>
  <si>
    <t>Me llamo Marina trabajo Cómo TEL en el SAS. Soy socialista</t>
  </si>
  <si>
    <t>Francisco Arenas .</t>
  </si>
  <si>
    <t>ESPAÑOL 🇪🇸 Del @Pp</t>
  </si>
  <si>
    <t>http://www.veoinfo.com/pablo-casado-ficha-como-jefe-de-gabinete-a-javier-lasquetty-privatizador-de-la-sanidad-y-hombre-de-aznar-y-aguirre/</t>
  </si>
  <si>
    <t>https://pbs.twimg.com/media/DtuzIFBU8AAmkDY.jpg</t>
  </si>
  <si>
    <t>Pedro García Hidalgo</t>
  </si>
  <si>
    <t>Los liberales del @PPopular nos alegramos. 👏🏼👏🏼👏🏼 Javier Fernández-Lasquetty, nuevo jefe de gabinete de Pablo Casado - Libertad Digital</t>
  </si>
  <si>
    <t>Cuenca</t>
  </si>
  <si>
    <t>Esposo y padre feliz. Concejal del ayuntamiento de Cuenca. Maestro, músico, politólogo, comunicólogo y maratoniano. ¡Y del atleti!</t>
  </si>
  <si>
    <t>http://pedrojgarciahidalgo.blogspot.com</t>
  </si>
  <si>
    <t>Inmaculada Malanda</t>
  </si>
  <si>
    <t>Hoy 6 de diciembre de 2018 se cumple 40 años de nuestra Constitución española🇪🇸. Aquí os dejo el vídeo completo de nuestro homenaje a la Carta Magna. Victor Calvo-Sotelo, Adolfo Suárez Illana, José María Aznar, Mariano Rajoy y Pablo Casado. Un abrazo.</t>
  </si>
  <si>
    <t>pic.twitter.com/V21MKcfZTa</t>
  </si>
  <si>
    <t>Cervatos de la Cueza</t>
  </si>
  <si>
    <t>Alcaldesa de Cervatos de la Cueza.</t>
  </si>
  <si>
    <t>http://cervatosopina.blogspot.com/</t>
  </si>
  <si>
    <t>ErreGood</t>
  </si>
  <si>
    <t>Pablo Casado y Albert Rivera #40AñosDeConstitución #JaqueAlRégimenDel78 #ConstitucionEspanola</t>
  </si>
  <si>
    <t>https://pbs.twimg.com/media/Dtuxqh-XcAAcoks.jpg</t>
  </si>
  <si>
    <t>Por José Alejandro Vara,segun Pablo Casado:"Reformar la constitución abre las puertas a la república".  vía @voz_populi</t>
  </si>
  <si>
    <t>Fernando Jiménez ¡¡Español!!</t>
  </si>
  <si>
    <t>Pablo Casado ha señalado a la llegada al Congreso que “la Constitución permitió que cada español se convirtiera en protagonista de su futuro”. Cree el presidente del PP que la...</t>
  </si>
  <si>
    <t>https://www.vozpopuli.com/politica/Casado-Reformar-Constitucion-puertas-Republica_0_1197480496.html</t>
  </si>
  <si>
    <t>http://www.facebook.com/fernando.jimenez.12720</t>
  </si>
  <si>
    <t>Es la mejor herencia, que tenemos los españoles de bien. @larazon_es  … RT @pablocasado_: Celebramos #40AñosDeConstitución⁠ con el orgullo de saber que es el pilar de los mejores años de España, un monumento a la concordia y muralla ante quienes ponen la Nación en riesgo. Sigamos construyendo juntos el mejor futuro. Mi artículo 🗞 @larazon_es</t>
  </si>
  <si>
    <t>https://www.larazon.es/espana/defender-la-constitucion-por-pablo-casado-FP20854122
https://twitter.com/pablocasado_/status/1070620236758614017</t>
  </si>
  <si>
    <t>PP Mogán</t>
  </si>
  <si>
    <t>Hoy rendimos homenaje a España 🇪🇸 celebrando los 40 años de Constitución. #40AñosDeConstitución "Las democracias más longevas lo han sido por la estabilidad institucional que generación tras generación han asumido en su texto constitucional." - Pablo Casado</t>
  </si>
  <si>
    <t>https://pbs.twimg.com/media/DtuwRGZXQAA6qmb.jpg</t>
  </si>
  <si>
    <t>Mogán (Gran Canaria)</t>
  </si>
  <si>
    <t>Twitter oficial del PP de Mogán. Correo: ppmoganresponde@gmail.com Facebook: Populares Mogán</t>
  </si>
  <si>
    <t>Defender la Constitución por @pablocasado_ en @larazon_es #40aniversarioconstitucion #40añosConstitucion</t>
  </si>
  <si>
    <t>Pablo Casado ficha como jefe de Gabinete a Javier Lasquetty, privatizador de la sanidad y hombre de Aznar y Aguirre. "El Estado de Bienestar Esta Amenazado, Debemos estar Preparados" Quienes confundierón descuidaron a los ciudadanos No vierón o que? "</t>
  </si>
  <si>
    <t>Pablo Casado: "La Constitución es la muralla frente a aquellos que la quieren poner en riesgo"  #ConstituciónARV</t>
  </si>
  <si>
    <t>http://atres.red/z7jrv1</t>
  </si>
  <si>
    <t>Kike Losada C.</t>
  </si>
  <si>
    <t>"Pablo Casado ficha como jefe de Gabinete a Javier Lasquetty, privatizador de la sanidad y hombre de Aznar y Aguirre"  #noticias #feedly</t>
  </si>
  <si>
    <t>Expansión Economía</t>
  </si>
  <si>
    <t>https://pbs.twimg.com/media/Dtuu2Y8WwAAVN-T.jpg</t>
  </si>
  <si>
    <t>Cuenta oficial de la sección de Economía &amp; Política del diario @expansioncom.</t>
  </si>
  <si>
    <t>http://www.expansion.com</t>
  </si>
  <si>
    <t>El presidente del PP nacional, Pablo Casado, visitará este sábado Murcia para arropar al presidente de la Comunidad y del Partido Popular regional, Fernando López Miras, y al alcalde de Murcia, José Ballesta, en la presentación de sus candidaturas.</t>
  </si>
  <si>
    <t>https://www.eldiario.es/politica/Casado-Lopez-Miras-Ballesta-presentacion_0_843066553.html</t>
  </si>
  <si>
    <t>Pablo Casado recuerda a su llegada al acto por el 40 aniversario de la Constitución a "aquellos españoles que no pueden expresar sus ideas políticas" porque "sufren el azote del nacionalismo excluyente". #ConstituciónARV</t>
  </si>
  <si>
    <t>http://atres.red/z7jrv3</t>
  </si>
  <si>
    <t>expansioncom</t>
  </si>
  <si>
    <t>https://pbs.twimg.com/media/DtuujMvW0AAnea0.jpg</t>
  </si>
  <si>
    <t>Diario Expansión, líder en información económica. También puedes seguirnos en Facebook http://www.facebook.com/Expansion.com #mercados #economía #empresas</t>
  </si>
  <si>
    <t>https://pbs.twimg.com/media/Dtute8wWkAAzyEu.jpg</t>
  </si>
  <si>
    <t xml:space="preserve">Madrid </t>
  </si>
  <si>
    <t>https://twitter.com/montesinospablo/status/1070581895245819904
https://www.libertaddigital.com/espana/politica/2018-12-06/javier-fernandez-lasquetty-nuevo-jefe-de-gabinete-de-casado-1276629457/</t>
  </si>
  <si>
    <t>María Navarro</t>
  </si>
  <si>
    <t>Esperando el Viva el Rey de Pablo Casado #40AñosDeConstitución</t>
  </si>
  <si>
    <t>Periodista en la #LaCafetera de @radiocable. De L-V a partir de las 08:30 Instagram: https://www.instagram.com/mariapuntoes/</t>
  </si>
  <si>
    <t>https://www.spreaker.com/user/radiocable</t>
  </si>
  <si>
    <t>PP Torrelodones</t>
  </si>
  <si>
    <t>"La historia del PP es una historia de defensa de la Carta Magna. No por un amor desmedido por lo establecido sino porque sigue siendo el mejor pilar para asentar el futuro"</t>
  </si>
  <si>
    <t>https://www.larazon.es/amp/espana/defender-la-constitucion-por-pablo-casado-FP20854122?__twitter_impression=true</t>
  </si>
  <si>
    <t>Torrelodones, Madrid.</t>
  </si>
  <si>
    <t>http://pptorrelodones.com</t>
  </si>
  <si>
    <t>http://dlvr.it/Qsyhqg</t>
  </si>
  <si>
    <t>https://pbs.twimg.com/media/DtusDVAU0AA3vin.jpg</t>
  </si>
  <si>
    <t>𝙽𝚘𝚎𝚕𝚒𝚊 👑🐝</t>
  </si>
  <si>
    <t>Si no tuviesemos la democracia y la CE que tenemos, os pensáis que el amigo de Pablo Iglesias estaría opinando sobre derechos, libertades y democracias??? Dudo que un asesino tuviera mucha voz si continuasemos viviendo en la época franquista  vía @ABCespana</t>
  </si>
  <si>
    <t>https://www.abc.es/espana/abci-otegi-no-poner-foco-sino-casado-201812051118_video.html#ns_campaign=amp-rrss-inducido&amp;ns_mchannel=abc-es&amp;ns_source=tw&amp;ns_linkname=video&amp;ns_fee=0</t>
  </si>
  <si>
    <t>📍𝙼𝚊𝚍𝚛𝚒𝚍 </t>
  </si>
  <si>
    <t>⚖🎓𝙶𝚍𝚊. 𝚎𝚗 𝙳𝚎𝚛𝚎𝚌𝚑𝚘 (𝚄𝙲𝙼)▪𝙾𝚙𝚘𝚜𝚒𝚝𝚊𝚗𝚍𝚘▪ 𝙻𝚊𝚠 𝚒𝚜 𝚛𝚎𝚊𝚜𝚘𝚗 𝚏𝚛𝚎𝚎 𝚏𝚛𝚘𝚖 𝚙𝚊𝚜𝚜𝚒𝚘𝚗 💬《🧘🏻‍♀️》</t>
  </si>
  <si>
    <t>BM Conservas Alsur Antequera</t>
  </si>
  <si>
    <t>Os presentamos a nuestro equipo alevin femenino grupo B de Pablo Casado Y Ana Soler ¡Vamos chicas! 💪💚 #somosdebalonmano #Antequera #deporteatq</t>
  </si>
  <si>
    <t>https://pbs.twimg.com/media/DtupPJxXcAA9bBH.jpg</t>
  </si>
  <si>
    <t>Antequera, Spain</t>
  </si>
  <si>
    <t>Twitter oficial del Club Balonmano Conservas Alsur Antequera. Temporada 2018/2019</t>
  </si>
  <si>
    <t>https://www.bmlosdolmenes.es/web/index.asp</t>
  </si>
  <si>
    <t>Viva la Constitución: “Defender la Constitución, por Pablo Casado” via @larazon_es</t>
  </si>
  <si>
    <t>NOTICIARIO CENTRO</t>
  </si>
  <si>
    <t>El expresidente socialista Felipe González eufórico felicita a Pablo Casado por la llegada a la presidencia de la Junta de Andalucía este jueves a las puertas del Congreso, en Madrid.</t>
  </si>
  <si>
    <t>https://pbs.twimg.com/media/DtupQCvX4AIQHWp.jpg</t>
  </si>
  <si>
    <t>Andalucia, España, Europa.</t>
  </si>
  <si>
    <t>NOTICIARIO CENTRO DE ANDALUCIA Este es un Wlordpress que se crea para dar cabida a las noticias relacionadas con el Centro de Andalucía.</t>
  </si>
  <si>
    <t>http://noticiariocentrodeandalucia.wordpress.com/</t>
  </si>
  <si>
    <t>Pasanospoco</t>
  </si>
  <si>
    <t>Dice Pablo Casado que la Constitución está en plena forma... #40AñosDeConstitución #DiaDeLaConstitucion #ConstitucionEspanola #LaCafetera40añosDe</t>
  </si>
  <si>
    <t>https://pbs.twimg.com/media/DtupxB_WsAAG6cq.jpg</t>
  </si>
  <si>
    <t>Me refugio en el Derecho Administrativo</t>
  </si>
  <si>
    <t>#40AñosDeConstitución LA SEXTA TV - NOTICIAS | El dardo de Celia Villalobos a Pablo Casado: "Yo creía que él no era de extrema derecha, pero sí lo son muchos de quienes le rodean"</t>
  </si>
  <si>
    <t>https://www.lasexta.com/noticias/nacional/el-dardo-de-celia-villalobos-a-pablo-casado-yo-creia-que-el-no-era-de-extrema-derecha-pero-si-lo-son-muchos-de-quienes-le-rodean_201807205b51c34f0cf21229bb4f84ff.html</t>
  </si>
  <si>
    <t>Pedro Perea</t>
  </si>
  <si>
    <t>El 40 aniversario de la Constitución, en directo | Pablo Casado: "La Constitución es la mejor vacuna contra el nacionalismo y el radicalismo"</t>
  </si>
  <si>
    <t>http://www.elmundo.es/espana/2018/12/06/5c08e44921efa06f088b48aa.html</t>
  </si>
  <si>
    <t>JesúsSantana</t>
  </si>
  <si>
    <t>Quiero votar @PSOE pero no militante ni radical de izquierda, así que el PSOE de @sanchezcastejon no me lo permite, @Ciudadanos me vale, pero el postureo les pierde, @PPopular con Pablo casado es muy de derechas para mí, @ahorapodemos es un desastre donde gobierna, que votaré? ..</t>
  </si>
  <si>
    <t>Análisis político de un ingeniero, que gracias a las becas de estudio otorgadas en tiempo de González, exporta alta tecnología por el mundo.</t>
  </si>
  <si>
    <t>Oscar Fidalgo</t>
  </si>
  <si>
    <t>Palma de Mallorca. Padre. Abogado y Gestor Administrativo. Máster en Abogacía. PADG-Ie.</t>
  </si>
  <si>
    <t>http://oscarfidalgo.blogspot.com/</t>
  </si>
  <si>
    <t>gerardo tecé</t>
  </si>
  <si>
    <t>Pablo Casado, muy solemne en #40añosDeConstitución - Hay partidos populistas que quieren poner en duda las bases de la Constitución (refiriéndose al tema monarquía), son un peligro. - ¿Y qué le parecen quienes quieren acabar con las autonomías? - Ehmm... ahmmm... ¿Venezuela?</t>
  </si>
  <si>
    <t>Modelo y actriz. Periférico. Escribo, pinto y coloreo en @ctxt_es, @LateMotivCero y @AgenciaPlop. Quejas a: gerardo.tece@gmail.com IG: http://instagram.com/gerardotece.ig</t>
  </si>
  <si>
    <t>https://www.facebook.com/tece.gerardo</t>
  </si>
  <si>
    <t>Emily Habsburg</t>
  </si>
  <si>
    <t>Pablo Casado: “Es el peor momento para reformas. Hay independentistas que quieren demoler España” -</t>
  </si>
  <si>
    <t>Vienna-Marbella (AUT-ESP)</t>
  </si>
  <si>
    <t>♔🇦🇹INDIVISIBILITER AC INSEPARABILITER🇪🇸♔ #History #Liberal #WesternCivilization #AEIOU #WakeUpEurope #StopIslamicFascism ن🇪🇺🇮🇱☤</t>
  </si>
  <si>
    <t>Carmen Dueñas</t>
  </si>
  <si>
    <t>🔵 “La historia del @PPopular es una historia de defensa de la Carta Magna. No por un amor desmedido por lo estabecido sino porque sigue siendo el mejor pilar para asentar el futuro” @pablocasado_ 👉🏻  #EspañaEnElCorazón 🇪🇸 #40AniversarioConstitución</t>
  </si>
  <si>
    <t>Melilla.     Mi wikipedia en:</t>
  </si>
  <si>
    <t>Diputada XII Legislatura @Congreso_Es por Melilla.Portavoz @GPPopular de Igualdad,vocal Justicia,Sanidad,Seguimiento Pacto Estado y Discapacidad.Abogada y Madre</t>
  </si>
  <si>
    <t>http://bit.ly/2so1fLQ</t>
  </si>
  <si>
    <t>Maria Lirio Blanco</t>
  </si>
  <si>
    <t>Dice Pablo Casado que la Constitución es el mejor instrumento contra el nacionalismo, el populismo y el radicalismo.. A ver si opina lo mismo cuando trate de pactar con Vox en Andalucía, porque creo que entra en alguno de esos grupos...</t>
  </si>
  <si>
    <t>24h</t>
  </si>
  <si>
    <t>#40AñosdeConstitución Pablo Casado (PP): "Quiero recordar esa frase de Adolfo Suárez que decía - La Constitución no va resolver todos nuestros problemas pero hará a cada español protagonista de su historia- también nos ha hecho protagonistas de nuestro futuro" #40ConstituciónRTVE</t>
  </si>
  <si>
    <t>https://pbs.twimg.com/media/Dtuk53TV4AAMA1n.jpg</t>
  </si>
  <si>
    <t>Sigue la información al minuto en el @24h_tve y en http://www.rtve.es/noticias ▪Facebook: https://www.facebook.com/24htve/ ▪Telegram: https://t.me/Canal24hTVE</t>
  </si>
  <si>
    <t>http://www.rtve.es/noticias/mas-24/</t>
  </si>
  <si>
    <t>Nieves B Jiménez</t>
  </si>
  <si>
    <t>Pablo Casado en la carpa del #Congreso: "La Constitución es nuestro marco de actuación política. El PP defiende la vigencia de la Constitución porque actualmente es útil y es la mejor vacuna contra el radicalismo"</t>
  </si>
  <si>
    <t>MAD/MU</t>
  </si>
  <si>
    <t>Periodista | Columnista en La Verdad y La Gaceta | Líbero | Jot Down | esRadio Cultura | Elle Comunicación M.</t>
  </si>
  <si>
    <t>https://www.jotdown.es/2018/02/murcia-una-escena-teatral-con-denominacion-de-origen/</t>
  </si>
  <si>
    <t>http://lrzn.es/mbk7h1</t>
  </si>
  <si>
    <t>https://pbs.twimg.com/media/DtuiNfqWwAExIsK.jpg</t>
  </si>
  <si>
    <t>Álvaro Torres</t>
  </si>
  <si>
    <t>Pablo Casado evitando cargar contra vox diciendo que atenta a la constitución jojojo caretitas fuera. La constitución para lo que les interesa...</t>
  </si>
  <si>
    <t>Cádiz, Andalucía</t>
  </si>
  <si>
    <t>SÓLO CÁDIZ CF 💛💙 26/06/2016</t>
  </si>
  <si>
    <t>Happysnail</t>
  </si>
  <si>
    <t>#40AñosDeConstitución o «Pablo Casado hablando de radicalismos y otras ironías»</t>
  </si>
  <si>
    <t>#40AñosdeConstitución Pablo Casado (PP): "Hoy me quiero acordar de los mártires de la libertad, de las víctimas del terrorismo. Durante estos 40 años son ellos, con su sacrificio, los que han permitido consagrar la Constitución"  #40ConstituciónRTVE</t>
  </si>
  <si>
    <t>https://pbs.twimg.com/media/Dtuj6fHU8AA0XlS.jpg</t>
  </si>
  <si>
    <t>LOTO</t>
  </si>
  <si>
    <t>#Constitución aquí ante el soliloquio de Pablo Casado.</t>
  </si>
  <si>
    <t>https://pbs.twimg.com/media/DtujrLbX4AAyBgz.jpg</t>
  </si>
  <si>
    <t>Barcelona. (Q.)</t>
  </si>
  <si>
    <t>Somos nosotras, mujeres pecadoras, quienes no sentimos temor ante la grandeza de aquellos, los señores de hábito. Quienes no inclinamos la cabeza. K.Naheed</t>
  </si>
  <si>
    <t>Christian Ferreiro</t>
  </si>
  <si>
    <t>Que dice Pablo Casado que lo de la reforma del artículo 135 fue "una reforma puntual". La cara como hormigón armado.</t>
  </si>
  <si>
    <t>Principado de Asturias, España</t>
  </si>
  <si>
    <t>Filósofo o graduado en Filosofía por la Universidad de Oviedo e inculto cinematográfico en tratamiento</t>
  </si>
  <si>
    <t>Sergio Delgado</t>
  </si>
  <si>
    <t>#40AñosDeConstitución Pablo Casado ha hecho bueno a Rajoy. Es más joven pero más conservador y con ideas más antiguas. Un desastre.</t>
  </si>
  <si>
    <t>Periodista, europeísta y animalista. Las opiniones en Twitter dependen en ocasiones de mi estado de ánimo, poco más.</t>
  </si>
  <si>
    <t>Irene Adler</t>
  </si>
  <si>
    <t>De verdad me decis que Pablo Casado se cree todo lo que dice???</t>
  </si>
  <si>
    <t>Entre Downton y Storybrooke</t>
  </si>
  <si>
    <t>💙RAVENCLAW💙Demigod💛Disney💛Star Wars💜Hawkeye💜X Ambassadors💚 OneRepublic💚Imagine Dragons🖤Echosmith🖤Abba❤ -H. Arte y CCYLA=UAM</t>
  </si>
  <si>
    <t>#40AñosdeConstitución Pablo Casado (PP): "Hoy es un día muy especial para todos. Nuestra Constitución está en plena forma y es el mejor muro de contención contra los enemigos de la libertad, los nacionalismos excluyentes y el populismo" #40ConstituciónRTVE</t>
  </si>
  <si>
    <t>Jota #llibertat 🎗️</t>
  </si>
  <si>
    <t>¿Se puede ser más cínico que Pablo Casado, que habiendo presos políticos por defender sus ideas, dice que se sobretodo se acuerda de los españoles que no pueden expresar sus ideas por culpa de los nacionalistas? #Sinvergüenza #40AñosDeConstitución</t>
  </si>
  <si>
    <t>Obrer del píxel, ciber-i-activista indignat quinzeemer ecofeminista. Indieflauta NO-hipsterizat i montoliveter!!! #PV #audiovisuals #disseny #art #música❤️🧡💜</t>
  </si>
  <si>
    <t>Andrés</t>
  </si>
  <si>
    <t>Pablo Casado recuerda a las víctimas del terrorismo, se olvida y desprecia a las víctimas del franquismo, a los que lucharon y resistieron durante 40 años para lograr la democracia en España #ConstitucionEspanola #JaqueAlRégimenDel78 #40AñosDeConstitución #PorEspañaRepublicana</t>
  </si>
  <si>
    <t>¡¡Porque fueron somos, porque somos serán!! 🏳️‍🌈👨‍❤️‍👨🏳️‍🌈 “La heterosexualidad no es normal, solo es común”. (DorothyParker) ❤️💛💜</t>
  </si>
  <si>
    <t>Ornamento y delito</t>
  </si>
  <si>
    <t>Apalausos a la entrada de Pablo Casado en el Congreso #40ConstituciónRTVE #escalofrios en mi cuerpo</t>
  </si>
  <si>
    <t>Emisión en pruebas | Arquitectura | Urbanismo | TV | Bicis | Política | Medios |</t>
  </si>
  <si>
    <t>ALE</t>
  </si>
  <si>
    <t>Y luego llega quien llega...y da ejemplo, de entrada, de discurso, de defensa y celebración. No hay color, Pablo Casado. #40añosdeConstitución</t>
  </si>
  <si>
    <t xml:space="preserve">Sevilla, Andalucía, España. </t>
  </si>
  <si>
    <t>Historia, Universidad de Sevilla.</t>
  </si>
  <si>
    <t>http://instagram.com/alebarfou/</t>
  </si>
  <si>
    <t>Alberto G.</t>
  </si>
  <si>
    <t>Pablo Casado hablando contra los enemigos de la libertad y contra el nacionalismo excluyente. Tengo que felicitar al PP porque no es fácil pero siguen consiguiendo elegir líderes con una jeta de adamantium.</t>
  </si>
  <si>
    <t>Asturias, de momento</t>
  </si>
  <si>
    <t>Yo nunca he molado. Comando Anti Fruta Escarchada (C.A.F.E.) Departamento de Comunicaciones Post-mortem</t>
  </si>
  <si>
    <t>Bcaes</t>
  </si>
  <si>
    <t>Aplausos a Pablo Casado en su entrada al Congreso #40AñosDeConstitución Auguro lágrimas progres en las próximas elecciones.</t>
  </si>
  <si>
    <t>LIBERAL MINARQUISTA / HISPANÓFILO Y EUROPEÍSTA / ARTE / HISTORIA / 🇪🇸 🇪🇺</t>
  </si>
  <si>
    <t>Strambotic</t>
  </si>
  <si>
    <t>Diez frases que demuestran que Pablo Casado es un digno sucesor de Rajoy. @pablocasado_</t>
  </si>
  <si>
    <t>https://pbs.twimg.com/media/Dtugyf2W0AAFxda.jpg</t>
  </si>
  <si>
    <t>Strambotic, el blog más disparatado de internet, ahora también en libro: 'Strambotic, la Enciclopedia de lo Insólito y lo Disparatado'.</t>
  </si>
  <si>
    <t>https://blogs.publico.es/strambotic/</t>
  </si>
  <si>
    <t>Manus ad ferrum</t>
  </si>
  <si>
    <t>Pero Alberto Rivera y Pablo Casado dicen que el @PSOE no es constitucionalista y Aznar lo bendijo RT @anabeldn: Valls viene de un contexto político en el que resulta impensable e imposible pactar con la extrema derecha lepenista. De ahí su desconcierto al escuchar a Ciudadanos criticar a los que excluyen a Vox</t>
  </si>
  <si>
    <t>https://twitter.com/anabeldn/status/1070330194026774528
https://twitter.com/elpais_espana/status/1070316976340377601</t>
  </si>
  <si>
    <t>Cesar, cuidado con los idus de marzo. Ya han sido dijo Cesar, pero no han pasado !</t>
  </si>
  <si>
    <t>Sergio Parra</t>
  </si>
  <si>
    <t>https://ift.tt/2E1SWP7</t>
  </si>
  <si>
    <t>En @xatakaciencia @muyinteresante, @diarioviajero @JotDownSpain @YorokobuMag http://elobservadordelabelleza.com CV: http://ciclistasdesofa.wordpress.com/el-autor/</t>
  </si>
  <si>
    <t>http://about.me/sergioparra</t>
  </si>
  <si>
    <t>Juanmi Martinez</t>
  </si>
  <si>
    <t>Pablo Casado - 40 años de Constitución  vía @YouTube</t>
  </si>
  <si>
    <t>https://youtu.be/TIMXeNT-JX4</t>
  </si>
  <si>
    <t>Amo a mi familia, a mis amigos y al mundo. Hermano del Perdón y orgulloso de ser almeriense 🏴󠁧󠁢󠁥󠁮󠁧󠁿, andaluz y español 🇪🇸</t>
  </si>
  <si>
    <t>Carol Díaz-Espina (PhD) ن</t>
  </si>
  <si>
    <t>Albert Rivera 39 años Pablo Iglesias 40 años Adriana Lastra 39 años Pablo Casado 37 años Los portavoces políticos que inauguran la jornada, han nacido todos al amparo de la Constitución y pueden hacerlo gracias a ella. #40AñosdeConstitucion #DíaDeLaConstitución</t>
  </si>
  <si>
    <t>OVD-PNA-ZCH-NYC-MAD</t>
  </si>
  <si>
    <t>Asturiana. Mamá de dos. Periodista. Comunicación. Analizo medios y RRSS en @dogtrack_es. Profe en @uocuniversidad y @villanuevaCU. Liderazgo femenino #Educación</t>
  </si>
  <si>
    <t>http://www.linkedin.com/in/carolinadiazesp</t>
  </si>
  <si>
    <t>Carlos Valladolid</t>
  </si>
  <si>
    <t>Santiago Abascal es el doble en las escenas de acción de Pablo Casado.</t>
  </si>
  <si>
    <t xml:space="preserve">Pozuelo de Alarcón </t>
  </si>
  <si>
    <t>No tenía trabajo, así que me tuve que inventar uno, lo malo es cuando tengo que explicar a qué me dedico. CEO y creador de http://segnorasque.com</t>
  </si>
  <si>
    <t>http://www.segnorasque.com</t>
  </si>
  <si>
    <t>Pablo Casado Blanco</t>
  </si>
  <si>
    <t>Celebramos #40AñosDeConstitución⁠ con el orgullo de saber que es el pilar de los mejores años de España, un monumento a la concordia y muralla ante quienes ponen la Nación en riesgo. Sigamos construyendo juntos el mejor futuro. Mi artículo 🗞 @larazon_es</t>
  </si>
  <si>
    <t>Presidente del @ppopular</t>
  </si>
  <si>
    <t>Partido Popular CV</t>
  </si>
  <si>
    <t>🇪🇸Por la Libertad, por la concordia, por la democracia, por el presente y por el futuro, por la convivencia, por la democracia y por la unidad de España 🇪🇸▶️Constitución. Feliz 4️⃣0️⃣ aniversario</t>
  </si>
  <si>
    <t>Comunidad Valenciana</t>
  </si>
  <si>
    <t>Somos el partido más votado por los valencianos. Y por ellos trabajamos con mayor ilusión. PP Comunitat Valenciana</t>
  </si>
  <si>
    <t>http://www.ppcv.com</t>
  </si>
  <si>
    <t>AFEM</t>
  </si>
  <si>
    <t>Un desautorizado por la Justicia es nombrado nevo jefe de gabinete de Pablo Casado</t>
  </si>
  <si>
    <t>AFEM cree que se pueden cambiar muchas cosas y una de ellas es el papel del médico en la Sociedad y en el Sistema Sanitario Español</t>
  </si>
  <si>
    <t>http://www.asociacionfacultativos.com</t>
  </si>
  <si>
    <t>LA SEXTA TV - NOTICIAS | El dardo de Celia Villalobos a Pablo Casado: "Yo creía que él no era de extrema derecha, pero sí lo son muchos de quienes le rodean"</t>
  </si>
  <si>
    <t>✪kin</t>
  </si>
  <si>
    <t>Los nazis de Vox solo serán peligrosos para la democracia gracias a un par de personajes sin estudios, sin oficio ni beneficio y vividores de lo público, llamados: Pablo Casado y Alberto Rivera. Entre otros parásitos del Ibex y CacaReal. #DíaDeLaConstitución</t>
  </si>
  <si>
    <t>Mi patria en mis zapatos.</t>
  </si>
  <si>
    <t>estoy de paso... #BastaDeCasta</t>
  </si>
  <si>
    <t>http://historiaignoradadelahumanidad.wordpress.com/</t>
  </si>
  <si>
    <t>Voxmitando. Para expulsar al PSOE de la Junta, la extrema derecha exige que Albert Rivera y Pablo Casado degraden Andalucía</t>
  </si>
  <si>
    <t>César Durá Edo</t>
  </si>
  <si>
    <t>📰Defender la Constitución, por @pablocasado_ “La historia del PP es una historia de defensa de la Carta Magna. No por un amor desmedido por lo estabecido sino porque sigue siendo el mejor pilar para asentar el futuro”</t>
  </si>
  <si>
    <t>Vila-real/ Rosildos/ Culla</t>
  </si>
  <si>
    <t>Estudiante de Derecho y aficionado taurino. Liberal. Espanyol i Valencià.🇪🇸</t>
  </si>
  <si>
    <t>https://www.aplausos.es/movil/</t>
  </si>
  <si>
    <t>Mariano Alonso</t>
  </si>
  <si>
    <t>Fernández-Lasquetty, nuevo jefe de gabinete de Pablo Casado, por @montesinospablo  vía @libertaddigital</t>
  </si>
  <si>
    <t>Getafe, Comunidad de Madrid</t>
  </si>
  <si>
    <t>Periodista Journalist Corresponsal político y parlamentario en Libertad Digital y esRadio. Antes COPE y LDTV.</t>
  </si>
  <si>
    <t>Fernando García</t>
  </si>
  <si>
    <t>Pablo Casado dice que los inmigrantes deben adaptarse a las costumbres locales. A tomar por culo los mallorquines, que aprendan alemán...</t>
  </si>
  <si>
    <t>Bernal, Buenos Aires</t>
  </si>
  <si>
    <t>Ex editor fotográfico de El Gráfico. Del Cervecé. Nikon, Fender y Perón. La cervecería artesanal es el parripollo de los chetos, por eso ahora piloto drones.</t>
  </si>
  <si>
    <t>http://g-fer.tumblr.com</t>
  </si>
  <si>
    <t>Susana P Quislant</t>
  </si>
  <si>
    <t>Noticias que alegran el día!!!!! Fernández-Lasquetty, nuevo jefe de gabinete de Pablo Casado, por @montesinospablo  vía @libertaddigital</t>
  </si>
  <si>
    <t>Pozuelo de Alarcón. Madrid</t>
  </si>
  <si>
    <t>ALCALDESA DE POZUELO DE ALARCÓN. #PozueloDeAlarcón.</t>
  </si>
  <si>
    <t>COPE Murcia</t>
  </si>
  <si>
    <t>Pablo Casado estará el sábado en Murcia para avalar las candidaturas de López Miras y Ballesta</t>
  </si>
  <si>
    <t>Twitter oficial de COPE Murcia. Puede seguirnos en 711 OM; 106.9 FM y COPE MÁS MURCIA 100.6 FM; Facebook COPE Murcia y en http://cope.es/murcia Estar informado :)</t>
  </si>
  <si>
    <t>http://www.cope.es/murcia</t>
  </si>
  <si>
    <t>José L.Casas Alonso</t>
  </si>
  <si>
    <t>Si les juzgamos por sus hechos,habría que pensar que,ni Albert Rivera,ni Pablo Casado están luchando a muerte,no por ntro. bienestar,si no por el Poder.¿Poder para qué?. RT @ErnestoEkaizer: #Rac1 Ekaizer&amp;Clapés: “No confiaría en los principios de Albert Rivera porque no creo que los tenga...” @rac1</t>
  </si>
  <si>
    <t>https://twitter.com/ErnestoEkaizer/status/1070386110625431552
http://shr.gs/cs5773P</t>
  </si>
  <si>
    <t>Boticario sin Botica.</t>
  </si>
  <si>
    <t>Carlos Domínguez</t>
  </si>
  <si>
    <t>Eduardo Oria de Rued</t>
  </si>
  <si>
    <t>gran fichaje bienvenido de nuevo Javier Fernández-Lasquetty, nuevo jefe de gabinete de Pablo Casado, por @montesinospablo  vía @libertaddigital</t>
  </si>
  <si>
    <t>Primer Teniente de Alcalde en el Ayuntamiento de Pozuelo de Alarcón</t>
  </si>
  <si>
    <t>Luisa</t>
  </si>
  <si>
    <t>Bart</t>
  </si>
  <si>
    <t>Javier Fernández-Lasquetty, nuevo jefe de gabinete de Pablo Casado- Libertad Digital | Versión Móvil (mobile)</t>
  </si>
  <si>
    <t>libertad es poder decir que dos y dos son cuatro,admitido eso se deduce todo lo demás.</t>
  </si>
  <si>
    <t>Lidia Pleite</t>
  </si>
  <si>
    <t>Me ha gustado un vídeo de @YouTube ( - "Casado habla de Venezuela ni BREXIT ni Araba Saudí" Pablo Iglesias).</t>
  </si>
  <si>
    <t>http://youtu.be/BvjhEjnibHA?a</t>
  </si>
  <si>
    <t>Málaga, Andalucía</t>
  </si>
  <si>
    <t>Levanto mi cabeza y miro al cielo, alzo mis manos, es lo que quiero tocar las nubes que están tan lejos.</t>
  </si>
  <si>
    <t>Lucía Méndez Prada</t>
  </si>
  <si>
    <t>Combatir a Vox o cuidar a Vox. Debate en el PP. Lo cuenta @CarmendelRiego en @LaVanguardia.</t>
  </si>
  <si>
    <t>Periodista y madre</t>
  </si>
  <si>
    <t>http://www.elmundo.es</t>
  </si>
  <si>
    <t>Anax junius</t>
  </si>
  <si>
    <t>Pablo Casado yendo a manifestaciones de Vox y aplaudiendo en 2017 a Santiago Abascal.</t>
  </si>
  <si>
    <t>https://pbs.twimg.com/media/DtuQYe6XgAE2NQa.jpg</t>
  </si>
  <si>
    <t>David Blasco Delgado</t>
  </si>
  <si>
    <t>Hoy es un día alegre para los liberales. Javier Fernández-Lasquetty, nuevo jefe de gabinete de Pablo Casado  vía @libertaddigital</t>
  </si>
  <si>
    <t>Banca, Finanzas y Formación, a ello se une mi pasión por los cigarros premium</t>
  </si>
  <si>
    <t>http://www.momentohumo.com</t>
  </si>
  <si>
    <t>me encantó ayer la intervención de @IdiazAyuso en @esRadio ojalá toda la gente del PP hablara con ese desparpajo y sin complejos y Pablo Casado debería ponerla de portavoz popular en el Congreso #AsíSí</t>
  </si>
  <si>
    <t>40 Aniversario Constitución: Pablo Casado: “Es el peor momento para reformas. Hay independentistas que quieren demoler España” | España | EL PAÍS</t>
  </si>
  <si>
    <t>Nueva Política Española</t>
  </si>
  <si>
    <t>Javier Fernández-Lasquetty, nuevo jefe de gabinete de Pablo Casado -</t>
  </si>
  <si>
    <t>Con sus ideas frescas y renovadas, la piedra angular, el presente y el futuro de este gran proyecto.</t>
  </si>
  <si>
    <t>Pepe Rodríguez</t>
  </si>
  <si>
    <t>Cómo ha propuesto Pablo Casado, hay que recentralizar competencias esenciales, sanidad y educación entre otras RT @diariocadiz: Sondeo de Metroscopia con motivo del 40 aniversario de la #ConstituciónEspañola. La mayoría pide una reorganización de las autonomías #Cádiz</t>
  </si>
  <si>
    <t>https://twitter.com/diariocadiz/status/1070592429387071489
http://ddcadiz.info/kfgoa1</t>
  </si>
  <si>
    <t>Believe you can and you're halfway there. Cree que puedes y ya estás a mitad de camino. Theodore Roosevelt</t>
  </si>
  <si>
    <t>Bertlem VL.</t>
  </si>
  <si>
    <t>Todos tenemos y siempre tendremos nuevas oportunidades para hacerlo mejor</t>
  </si>
  <si>
    <t>http://page.is/bertlem-vl</t>
  </si>
  <si>
    <t>Populares Castellón</t>
  </si>
  <si>
    <t>La historia del @PPopular es una historia de defensa de la Carta Magna. No por un amor desmedido por lo estabecido sino porque sigue siendo el mejor pilar para asentar el futuro  escribe @pablocasado_ en @larazon_es</t>
  </si>
  <si>
    <t>Perfil oficial del @PPopular en la provincia de Castellón</t>
  </si>
  <si>
    <t>http://www.ppcastellon.es</t>
  </si>
  <si>
    <t>LUQUENYO</t>
  </si>
  <si>
    <t>Casado e Iglesias, los líderes peor valorados via @El_Plural</t>
  </si>
  <si>
    <t>https://www.elplural.com/politica/cis-valoracion-lideres-pablo-iglesias-pablo-casado-pedro-sanchez_207613102</t>
  </si>
  <si>
    <t>No soy un perdedor, pero las personas de izquierda siempre nos toca perder,.Adoro tanto la independencia,como aborrezco a los independentistas. Arribistas, etc.</t>
  </si>
  <si>
    <t>F. Colorado</t>
  </si>
  <si>
    <t>Madrileño de Chamberí, amante de la política. Cada día moviendo las velas de mi barco para no perder el rumbo. Vocal Vecino GPP Chamberí. Portavoz Adjunto.</t>
  </si>
  <si>
    <t>http://teroland.blogspot.com/</t>
  </si>
  <si>
    <t>Beligerante</t>
  </si>
  <si>
    <t>El 40 aniversario de la Constitución de 1978 representa el continuismo y la corrupción. Sus defensores se oponen al cambio, desde Pablo Casado a Íñigo Errejón.</t>
  </si>
  <si>
    <t>Dicen que llueve, pero en realidad nos mean.Detengamos esta orgía urinaria.</t>
  </si>
  <si>
    <t>Elena✨      7422💙</t>
  </si>
  <si>
    <t>Si tu novio: -Canta como los angeles -Esta casado a Nick Jonas y a Pablo Alboran -Esta como una cabra -Es el rey de los memes No es tu novio, es @noeliaot2018</t>
  </si>
  <si>
    <t>Eugenio</t>
  </si>
  <si>
    <t>🌹Consuelo G. ☀️😎</t>
  </si>
  <si>
    <t>Para expulsar al PSOE de la Junta, la extrema derecha exige que Albert Rivera y Pablo Casado degraden Andalucía😳😳😳</t>
  </si>
  <si>
    <t>Alcorcón, Comunidad de Madrid</t>
  </si>
  <si>
    <t>Los sueños son sumamente importantes, nada se hace sin que antes se imagine</t>
  </si>
  <si>
    <t>http://Instagram.com/consu_gf</t>
  </si>
  <si>
    <t>Teté🇪🇸</t>
  </si>
  <si>
    <t>Madre, Liberal, Fumadora, Lectora compulsiva, Me gusta la historia, Me encanta mi vieja perra Brisca</t>
  </si>
  <si>
    <t>🔵🔵Defender la Constitución por @PabloCasado_</t>
  </si>
  <si>
    <t>http://bit.ly/2FZJDBT</t>
  </si>
  <si>
    <t>Los "Gemeliers" no caen bien, "Pili y Mili" deben mejorar</t>
  </si>
  <si>
    <t>José Tomás</t>
  </si>
  <si>
    <t>Pablo Casado: “Es el peor momento para reformas. Hay independentistas que quieren demoler España”  vía @elpais_espana.Paranóico</t>
  </si>
  <si>
    <t>Jorge Herrero</t>
  </si>
  <si>
    <t>Xàtiva (Valencia-España)</t>
  </si>
  <si>
    <t>Twitter de Jorge Herrero, Concejal del Ayuntamiento de Xàtiva por el Partido Popular.</t>
  </si>
  <si>
    <t>Tere</t>
  </si>
  <si>
    <t>Eduardoguillentablada66. Cubano y Español 100%.</t>
  </si>
  <si>
    <t>"De Terrorista a Predicador", "de terrorista a Feminista", "de Terrorista a hombre de Paz". Este Terrorista en proceso de BLANQUEAMIENTO por el independentismo Catalan, el PSOE y PODEMOS, Pide; "No poner el FOCO en VOX, sino en Pablo Casado". Otrora que hubiera sido, UNA PISTOLA?</t>
  </si>
  <si>
    <t>pic.twitter.com/2zAe5kVZjf</t>
  </si>
  <si>
    <t>El concepto ideológico, Izquierda-Derecha es, Falso. En democracia los políticos son Perroflautas sinvergüenzas o gente con sentido común, con estos me quedo.</t>
  </si>
  <si>
    <t>Fuenlabrada</t>
  </si>
  <si>
    <t>#loshuevos</t>
  </si>
  <si>
    <t>Casado y Abascal también trabajaron para Aznar y Aguirre. 'Juntos pero no revueltos' se llama la película, Pablo. RT @montesinospablo: Javier Fernández-Lasquetty, nuevo jefe de gabinete de Pablo Casado. Se incorporará el lunes. Trabajó a las órdenes de Aznar y Aguirre</t>
  </si>
  <si>
    <t>Hasta los huevos de periodistas parciales al dictado de los políticos corruptos.</t>
  </si>
  <si>
    <t>LaMamma</t>
  </si>
  <si>
    <t>Albert Ribera a sido militante del PP a manos de Aznar! Abascal a sido un enchufado de Esperanza Aguirre, los dos están bajo el paraguas del PP, sin olvidar al pijo Pablo Casado, que Le han regalado los estudios para poder presidir el partido!!!</t>
  </si>
  <si>
    <t>Sencilla y familiar. Me gusta el cine clásico y viajar Madre de @antoniomaestre</t>
  </si>
  <si>
    <t>Fernández-Lasquetty, nuevo jefe de gabinete de Pablo Casado, por @montesinospablo  vía @libertaddigital 〰️〰️ esto va bien... vamos bien ‼️</t>
  </si>
  <si>
    <t>Pablo García</t>
  </si>
  <si>
    <t>La LIBERTAD un gran objetivo. Si lo que vas a decir no es mejor que el silencio,escríbelo en Twitter. ✖️</t>
  </si>
  <si>
    <t>Gran fichaje: “Javier Fernández-Lasquetty, nuevo jefe de gabinete de Pablo Casado”</t>
  </si>
  <si>
    <t>Marisa de la Cruz</t>
  </si>
  <si>
    <t>Creo que es un buen fichaje de @pablocasado. Fernández-Lasquetty, nuevo jefe de gabinete de Pablo Casado, por @montesinospablo  vía @libertaddigital</t>
  </si>
  <si>
    <t>Periodista. Televisión. Radio. Prensa .La mayor parte de mi carrera en Telemadrid Luchadora contra las purgas a periodistas.</t>
  </si>
  <si>
    <t>Rmb</t>
  </si>
  <si>
    <t>Cayetana Alvarez de Toledo</t>
  </si>
  <si>
    <t>Una grandísima noticia para el @PPopular Javier Fernández-Lasquetty, nuevo jefe de gabinete de Pablo Casado, por @montesinospablo  vía @libertaddigital</t>
  </si>
  <si>
    <t>Portavoz de Libres e Iguales.</t>
  </si>
  <si>
    <t>http://cayetanaalvarezdetoledo.com</t>
  </si>
  <si>
    <t>Soto del Real, España</t>
  </si>
  <si>
    <t>Pablo Montesinos</t>
  </si>
  <si>
    <t>Javier Fernández-Lasquetty, nuevo jefe de gabinete de Pablo Casado. Se incorporará el lunes. Trabajó a las órdenes de Aznar y Aguirre</t>
  </si>
  <si>
    <t>Madrid-Málaga</t>
  </si>
  <si>
    <t>Cubro la información del PP en Libertad Digital desde 2008. Colaboro en varias tertulias de radio y TV. Autor del libro sobre Gallardón 'El delfín del PP'</t>
  </si>
  <si>
    <t>http://www.libertaddigital.com/</t>
  </si>
  <si>
    <t>FormulaTV</t>
  </si>
  <si>
    <t>VOX, Franco, Cataluña, Pablo Casado: Las claves de la entrevista de Pedro Sánchez con Piqueras</t>
  </si>
  <si>
    <t>https://frml.tv/86708</t>
  </si>
  <si>
    <t>https://pbs.twimg.com/media/Dtt32E3W0AAWxqD.jpg</t>
  </si>
  <si>
    <t>El Twitter oficial de Formula TV, el portal líder de televisión en español. Todo sobre series y programas en nuestro Twitter.</t>
  </si>
  <si>
    <t>http://www.formulatv.com</t>
  </si>
  <si>
    <t>Vzaino➰</t>
  </si>
  <si>
    <t>Fernández-Lasquetty, nuevo jefe de gabinete de Pablo Casado, por @montesinospablo  via @libertaddigital</t>
  </si>
  <si>
    <t>Yo</t>
  </si>
  <si>
    <t>Por qué voy a votar a Pablo Casado  via @libertaddigital</t>
  </si>
  <si>
    <t>Alberto🇪🇸</t>
  </si>
  <si>
    <t>Sobre España, sobre lo que se me ocurra, y mucho sobre deportes de quemar gasolina.</t>
  </si>
  <si>
    <t>Alternativa Liberal Torrijos</t>
  </si>
  <si>
    <t>Fernández-Lasquetty, nuevo jefe de gabinete de Pablo Casado. Acierta Casado con esta decisión.</t>
  </si>
  <si>
    <t>http://www.libertaddigital.com/espana/politica/2018-12-06/javier-fernandez-lasquetty-nuevo-jefe-de-gabinete-de-casado-1276629457/</t>
  </si>
  <si>
    <t>Alternativa Liberal Torrijos ▫️Difundimos el pensamiento liberal más allá de la economía: libertades individuales y políticas. Contra el intervencionismo #LET🐍</t>
  </si>
  <si>
    <t>http://www.alt-liberal.es</t>
  </si>
  <si>
    <t>Palmira G🇪🇸🇪🇸</t>
  </si>
  <si>
    <t>La discrepancia no me ofende es más puede ser positiva. Lo q no admito son los insultos. No busco relaciones . Abstenerse ligones.</t>
  </si>
  <si>
    <t>Radio TEMPLO</t>
  </si>
  <si>
    <t>VOX, Cataluña y Pablo Casado: 6 claves de la entrevista de Pedro Sánchez con Piqueras</t>
  </si>
  <si>
    <t>https://www.formulatv.com/noticias/pedro-sanchez-entrevista-piqueras-culpa-pp-auge-vox-86708/</t>
  </si>
  <si>
    <t>Madrid - Barcelona - Argentina - Colombia - México</t>
  </si>
  <si>
    <t>@RadioTemplo Official 🌀 Canal de #Noticias y #Curiosidades 📻 Irradiamos ● cultura ● entretenimiento ● lifestyle ● desarrollo personal ● psicología ● ciencia</t>
  </si>
  <si>
    <t>J_Puigmartí-Anmella</t>
  </si>
  <si>
    <t>Seguramente los barones del @ppopular discrepan en si bajarse los pantalones/bragas y ponerse a cuatro patas o hacerles sexo oral a los fascistas de @vox_es pero no por vicio sino que el acto sería por España. Los de @Ciudadanoscs lo tienen más decidido.</t>
  </si>
  <si>
    <t>https://www.lavanguardia.com/politica/20181206/453390318753/debate-pp-estrategia-vox-elecciones-andaluzas-pablo-casado.html?utm_campaign=botones_sociales_app</t>
  </si>
  <si>
    <t>Barcelona, Espanya</t>
  </si>
  <si>
    <t>Independentista de cor i de raó.</t>
  </si>
  <si>
    <t>Javier Fernández-Lasquetty, nuevo jefe de gabinete de Pablo Casado</t>
  </si>
  <si>
    <t>http://dlvr.it/QsxgKx</t>
  </si>
  <si>
    <t>El director Pablo-Heras Casado es distinguido como 'Caballero de la Orden de las Artes y las Letras' del Gobierno francés</t>
  </si>
  <si>
    <t>http://dlvr.it/QsxgVX</t>
  </si>
  <si>
    <t>https://pbs.twimg.com/media/DttbBj1UcAAqtde.jpg</t>
  </si>
  <si>
    <t>Libertad Digital</t>
  </si>
  <si>
    <t>Noticias y opinión en la red. Escúchanos en @esRadio y léenos también en @libre_mercado @ChicRevista @LoDeCultura</t>
  </si>
  <si>
    <t>http://www.libertaddigital.com</t>
  </si>
  <si>
    <t>juan fco cabrera romero</t>
  </si>
  <si>
    <t>Javier Fernández-Lasquetty será el nuevo jefe de gabinete de Pablo Casado. El lunes se incorporará al puesto, desde el que trabajará en el...</t>
  </si>
  <si>
    <t>Ayamonte, España</t>
  </si>
  <si>
    <t>Orgulloso de haber nacido en la Puerta de España.</t>
  </si>
  <si>
    <t>Pao Roldan♡</t>
  </si>
  <si>
    <t>Pablo le dijo a mi vieja que soy de él y la Claudia flasheo amor. No Claudia estoy casado; Pao es mia ya está en mi empresa buscate otra. Gracias gracias; que mina laburadora soy TODOS ME QIERENNN</t>
  </si>
  <si>
    <t>20 años♡ insta: @pooli_roldan</t>
  </si>
  <si>
    <t>Es La Mañana de FJL</t>
  </si>
  <si>
    <t>Juan Esplandiú, 13, Madrid</t>
  </si>
  <si>
    <t>Twitter OFICIAL del programa Es La Mañana de Federico, en esRadio. De Lunes a Viernes, entre las 6:00 y las 12:00. En Madrid en el 99.1 eslamanana@esradio.fm</t>
  </si>
  <si>
    <t>http://www.esradio.fm/es-la-manana-de-federico/</t>
  </si>
  <si>
    <t>Damas de Blanco PREMIO ANDREI SAJAROV 2005</t>
  </si>
  <si>
    <t>España / Cuba</t>
  </si>
  <si>
    <t>Somos la familia de los presos de la Primavera Negra del 2003 y ahora la de todos los cautivos políticos que luchan por la libertad y la democracia en #Cuba</t>
  </si>
  <si>
    <t>http://www.damasdeblanco.org</t>
  </si>
  <si>
    <t>VOX, Franco, Cataluña y Pablo Casado: 6 claves de la entrevista de Pedro Sánchez con Piqueras</t>
  </si>
  <si>
    <t>Carmelo Molina Sánch</t>
  </si>
  <si>
    <t>https://diarioliricoes.blogspot.com/2018/12/el-director-pablo-heras-casado-es.html?utm_source=dlvr.it&amp;utm_medium=facebook</t>
  </si>
  <si>
    <t>http://dlvr.it/QsxQyq</t>
  </si>
  <si>
    <t>https://pbs.twimg.com/media/DttBm4zU4AIqam2.jpg</t>
  </si>
  <si>
    <t>diariolirico / El director Pablo-Heras Casado es distinguido como 'Caballero de la Orden…</t>
  </si>
  <si>
    <t>https://goo.gl/fb/xF9SHZ</t>
  </si>
  <si>
    <t>https://www.lavanguardia.com/politica/20181206/453390318753/debate-pp-estrategia-vox-elecciones-andaluzas-pablo-casado.html?utm_source=twitter_lv&amp;utm_medium=social</t>
  </si>
  <si>
    <t>Granada</t>
  </si>
  <si>
    <t>Luis Espinosa Goded</t>
  </si>
  <si>
    <t>Fernandez Lasquetty es el nuevo jefe de gabinete de Pablo Casado, del Partido Popular. Los últimos 4 años ha sido vicerector de la Universidad Francisco Marroquín de Guatemala.</t>
  </si>
  <si>
    <t>Profesor de economía en la Universidad San Francisco de Quito. Liberal. Muy liberal. Emboscado (escohotadista), mccloskista y austriaco.</t>
  </si>
  <si>
    <t>Luis Aury 🇻🇪 Cuba pre Nueva Rhodesia del Norte</t>
  </si>
  <si>
    <t>I added a video to a @YouTube playlist  Pablo Iglesias, Santiago Abascal, Pablo Casado, y Rivera, hablan tras</t>
  </si>
  <si>
    <t>http://youtu.be/tEDxmRkm-uw?a</t>
  </si>
  <si>
    <t>Hugo Chávez: Unidad, Lucha, Batalla y Victoria http://AVN.info.ve http://www.MisionVerdad.com http://visconversa.com http://www.15yultimo.com</t>
  </si>
  <si>
    <t>http://albaciudad.org</t>
  </si>
  <si>
    <t>I liked a @YouTube video  Pablo Iglesias, Santiago Abascal, Pablo Casado, y Rivera, hablan tras ascenso de VOX</t>
  </si>
  <si>
    <t>Jaume Ors .Ñ.🇪🇸</t>
  </si>
  <si>
    <t>Pablo Casado no cierra la puerta a que Vox entre en un gobierno del PP en Andalucía.  vía @opiniondemalaga</t>
  </si>
  <si>
    <t>https://www.laopiniondemalaga.es/andalucia/2018/12/05/pablo-casado-cierra-puerta-vox/1052280.html</t>
  </si>
  <si>
    <t>Es la hora de #España. NUESTRA INDESTRUCTIBLE ESPAÑA. Se acabó el tiempo del respeto al comunismo y al separatismo. #patriotismo #VOX #stopislam #misbanderas</t>
  </si>
  <si>
    <t>Boni Azuaga San</t>
  </si>
  <si>
    <t>Tiembla Andalucía: Vox desvela sus 10 exigencias a PP y Ciudadanos Para expulsar al PSOE de la Junta, la extrema derecha exige que Albert Rivera y Pablo Casado degraden Andalucía</t>
  </si>
  <si>
    <t>http://press.archez.com</t>
  </si>
  <si>
    <t>Entrevista Pablo Casado</t>
  </si>
  <si>
    <t>http://www.youtube.com/watch?v=xsY-oteVN_c
http://www.veoinfo.com/entrevista-pablo-casado/</t>
  </si>
  <si>
    <t>Sento</t>
  </si>
  <si>
    <t>Pablo Casado ha manifestado su idea de derogar la Ley del Aborto, algo que ya intentó Gallardón en 2014 Las ideas de Vox sobre aborto, homosexualidad y violencia de género: la vuelta de tuerca a lo que ya intentó el PP  vía @eldiarioes</t>
  </si>
  <si>
    <t>https://www.eldiario.es/_323ad572</t>
  </si>
  <si>
    <t>🐜 La desigualdad es el origen de todos los movimientos locales, y ciegos están los que los ven y los ignoran.</t>
  </si>
  <si>
    <t>MSF Marieteee✊</t>
  </si>
  <si>
    <t>Llego a presidente del gobierno tras meses de duro esfuerzo. Pablo casado remembers. RT @cai_nyabel: Juguemos, cuál será tu logro en 2019?</t>
  </si>
  <si>
    <t>https://twitter.com/cai_nyabel/status/1070047800359088128</t>
  </si>
  <si>
    <t>https://pbs.twimg.com/media/DtmSzMDX4AAmi-V.jpg</t>
  </si>
  <si>
    <t>Los Angeles, CA/Madrid, España</t>
  </si>
  <si>
    <t>Clash Royale coach for @MisfitsGG | Former @KIYFeSports | @TLPTenerife 2017 winner✊ | Business inquiries ➡️ Marieteee@misfitsgaming.gg 🐰 #MSFWIN #WeAreMisfits</t>
  </si>
  <si>
    <t>http://Misfitsgaming.gg</t>
  </si>
  <si>
    <t>EP | Venezuela</t>
  </si>
  <si>
    <t>¡Contundente! Pablo Casado defiende la inviolabilidad del Rey</t>
  </si>
  <si>
    <t>http://epmundo.com/2018/contundente-pablo-casado-defiende-la-inviolabilidad-del-rey/</t>
  </si>
  <si>
    <t>https://pbs.twimg.com/media/DtsIht_WwAAXirC.jpg</t>
  </si>
  <si>
    <t>Noticias de Venezuela y el Mundo en Español. Cadena de Noticias @EP_Mundo Facebook: http://facebook.com/EP.Venezuela</t>
  </si>
  <si>
    <t>http://bit.ly/EP_Venezuela</t>
  </si>
  <si>
    <t>¿Podría el PP llegar a ser útil? Sobre el papel de Pablo Casado tras los resultados de las #EleccionesAndaluzas, @ferrancab y @jcamagi reflexionan sobre el papel del líder popular</t>
  </si>
  <si>
    <t>http://bit.ly/2AOl198</t>
  </si>
  <si>
    <t>https://pbs.twimg.com/media/DtsDMf6WsAAVrZt.jpg</t>
  </si>
  <si>
    <t>Gregorio López</t>
  </si>
  <si>
    <t>Quien no quiere pensar es un fanático; quien no puede pensar, es un idiota; quien no osa pensar es un cobarde. Sir Francis Bacon (1561-1626) Filósofo .</t>
  </si>
  <si>
    <t>http://porelpaseodelvendaval.blogspot.com/</t>
  </si>
  <si>
    <t>ivan angulo</t>
  </si>
  <si>
    <t>Aquí haciendome un selfie y brindando con los amiguetes de Albert Rivera, Santiago Abascal y Pablo Casado. El Ku Klux Klan desbordado por la alegría de saber que tiene tantos seguidores en España 🙄</t>
  </si>
  <si>
    <t>https://pbs.twimg.com/media/DtkUujxWsAAS5eC.jpg</t>
  </si>
  <si>
    <t>CONTRA LA POBREZA Y HAMBRE MUNDIAL. CHAVEZ NUESTRO GUIA Y EJEMPLO. BOLIVARIANO Y LIBRE PENSADOR. CON SIRIA, PALESTINA Y SAHARA OCCID.CIUDADANO DEL MUNDO</t>
  </si>
  <si>
    <t>Eco de Teruel</t>
  </si>
  <si>
    <t>Pablo Casado presenta este viernes en Teruel a los candidatos a las alcaldías de la capitales aragonesas (Emma Buj, Ana Alós y Jorge Azcón) -</t>
  </si>
  <si>
    <t>https://ecodeteruel.tv/pablo-casado-presenta-este-viernes-en-teruel-a-los-candidatos-a-las-alcaldias-de-la-capitales-aragonesas-emma-buj-ana-alos-y-jorge-azcon</t>
  </si>
  <si>
    <t>https://pbs.twimg.com/media/Dtr02NKWsAEJevg.jpg</t>
  </si>
  <si>
    <t>Teruel, Aragón, España</t>
  </si>
  <si>
    <t>Periódico digital de información general con sede en Teruel. Nace el día 24 de marzo de 2010</t>
  </si>
  <si>
    <t>http://www.ecodeteruel.tv</t>
  </si>
  <si>
    <t>Entelequio</t>
  </si>
  <si>
    <t>¿Ha sido una falsa sensación mía o el telediario de las 15.00 de Antena 3 ha empezado ya a criticar con dureza a Vox? Tiene que haber en el PP gente muy preocupada con el auge de Vox pese al giro de Pablo Casado a la ultraderecha. Les puede quitar muchos votos en las generales.</t>
  </si>
  <si>
    <t>Estupefacto y torrefacto. No insulto y evito a quienes lo hacen. Barañáin (Navarra).</t>
  </si>
  <si>
    <t>Insomnio</t>
  </si>
  <si>
    <t>#CeliaVillalobos a @pablocasado_: "Yo creía que él no era de extrema derecha, pero sí lo son muchos d quienes le rodean" Proféticas palabras a las q hay que incluir al propio #Casado @mirrocafort @juanlula @PSOE @AmoedoCom @mikihoyos @vascolandio @Anhela_</t>
  </si>
  <si>
    <t>Málaga, Andalucía, España</t>
  </si>
  <si>
    <t>Sólo sé que no sé nada, pero me intereso por todo y, como buen socialista, nada me deja indiferente. Si luchas tal vez pierdas, pero si no luchas estás perdido</t>
  </si>
  <si>
    <t>Rossua</t>
  </si>
  <si>
    <t>Por fin me ha llegado. Acabo de terminar de leer y descifrar el contenido y sólo te digo, que por menos, a Pablo Casado le dan un título. @zaharapop</t>
  </si>
  <si>
    <t>https://pbs.twimg.com/media/DtrrYs8W0AET8ZR.jpg</t>
  </si>
  <si>
    <t>Aravaca, Harvard, IL</t>
  </si>
  <si>
    <t>Feminista, socialista y rajnishee. 'Somos sentimientos y tenemos seres humanos', 'los catalanes hacen cosas' - Paulo Coelho</t>
  </si>
  <si>
    <t>Como titularías una cena entre Pedro Sánchez, Pablo Casado, Albert Rivera, Pablo Iglesias, Santi Abascal, Echenique, Rufián, Eduardo Inda, Bertin Osborne, Ferreras, Junqueras y Puigdemont? La última cena.</t>
  </si>
  <si>
    <t>Economía y derecho. Me gusta hablar de todo. No intentes etiquetarme 😊</t>
  </si>
  <si>
    <t>Dramón 🥄</t>
  </si>
  <si>
    <t>El artículo de la Constitución que más le gusta a Pablo Casado es el de la autonomía universitaria. Cree que consiste en poder obtener los títulos como en un todo a 100.</t>
  </si>
  <si>
    <t>Enamorado de mi chica. Inspired by Dramón, my dog for life. Abogado que trasnocha, siempre pendiente de la hora del Este. #NBA #GrizzNation</t>
  </si>
  <si>
    <t>Javier Cobo</t>
  </si>
  <si>
    <t>1º.- "Iglesias no descarta facilitar en Andalucía un gobierno de Ciudadanos". Estoy de acuerdo con .@Pablo_Iglesias_ en esto. No hay números para un gobierno de izquierdas en Andalucía, pero sí para evitar que se consolide la estrategia de Casado y VOX.</t>
  </si>
  <si>
    <t>https://www.elmundo.es/espana/2018/12/05/5c07b140fc6c834c318b4680.html</t>
  </si>
  <si>
    <t>Promotor de Actúa, concejal en Villanueva del Pardillo y sindicalista de Comisiones Obreras.</t>
  </si>
  <si>
    <t>#LoMásLeído Para expulsar al PSOE de la Junta, la extrema derecha exige que Albert Rivera y Pablo Casado degraden Andalucía</t>
  </si>
  <si>
    <t>Casado e Iglesias, los líderes peor valorados</t>
  </si>
  <si>
    <t>EP | Estados Unidos</t>
  </si>
  <si>
    <t>► ¡Contundente! Pablo Casado defiende la inviolabilidad del Rey</t>
  </si>
  <si>
    <t>http://epmundo.com/2018/contundente-pablo-casado-defiende-la-inviolabilidad-del-rey/?utm_source=twitter&amp;utm_medium=social&amp;utm_campaign=ReviveOldPost</t>
  </si>
  <si>
    <t>https://pbs.twimg.com/media/DtriK73WsAgmXWB.jpg</t>
  </si>
  <si>
    <t>Estados Unidos</t>
  </si>
  <si>
    <t>Noticias de Estados Unidos y el Mundo en Español. Cadena de Noticias @EP_Mundo</t>
  </si>
  <si>
    <t>http://bit.ly/EP_EEUU</t>
  </si>
  <si>
    <t>Embalaje Digital</t>
  </si>
  <si>
    <t>✅ VOX, Cataluña y Pablo Casado: 6 claves de la entrevista de Pedro Sánchez con Piqueras 📽️ by  💥 #cine #TV #DVD #Bluray 👍</t>
  </si>
  <si>
    <t>https://buff.ly/2k27AIz
https://buff.ly/2UgW8fl</t>
  </si>
  <si>
    <t>Iberian Peninsula</t>
  </si>
  <si>
    <t>Compra online cajas CD #DVD profesionales baratas, sobres #CD, botones CD, caja #Blu-Ray y muchos más complementos profesionales ZIRIGOZA GROUP</t>
  </si>
  <si>
    <t>https://www.zirigoza.eu</t>
  </si>
  <si>
    <t>Xuan Cándano</t>
  </si>
  <si>
    <t>Lo que está haciendo Pablo Casado arrimándose a Vox es de manual en relación a las consecuencias que trae para un partido en declive plegarse a otro en auge. Vox fagocitará al PP y provocará la jubilación anticipada de Casado. Gran aportación para la reunificación de la derecha.</t>
  </si>
  <si>
    <t>San Esteban de Bocamar (1959). Periodista. Redactor en RTVE-Asturias. Exdirector de Atlántica XXII.</t>
  </si>
  <si>
    <t>http://www.atlanticaxxii.com</t>
  </si>
  <si>
    <t>W4rh4ck</t>
  </si>
  <si>
    <t>Me ha gustado un vídeo de @YouTube ( - Pablo Casado defiende a VOX comparándolo con PODEMOS).</t>
  </si>
  <si>
    <t>http://youtu.be/9Hg8oSA_BmY?a</t>
  </si>
  <si>
    <t>Puerto Real, Andalucía</t>
  </si>
  <si>
    <t>Radio Córdoba</t>
  </si>
  <si>
    <t>El fuego y el humo. La reflexión de Pablo García Casado sobre el resultado de las elecciones andaluzas  vía @RadioCordobaSER</t>
  </si>
  <si>
    <t>http://cadenaser.com/emisora/2018/12/05/radio_cordoba/1544015226_944576.html?ssm=tw</t>
  </si>
  <si>
    <t>Escúchanos en el 93.5 FM, en el 1575 OM o en la app Cadena SER Radio.</t>
  </si>
  <si>
    <t>http://www.radiocordoba.es</t>
  </si>
  <si>
    <t>https://pbs.twimg.com/media/DtrZo-9WkAE-RAo.jpg</t>
  </si>
  <si>
    <t>Isi</t>
  </si>
  <si>
    <t>Pablo Casado diciendo que no hay que reformar la Constitución porque así evitan el independentismo y el populismo WTFFFFF XDDDDD</t>
  </si>
  <si>
    <t>🌵</t>
  </si>
  <si>
    <t>El populismo de la extrema derecha europea, ha abierto una sucursal en España, VOX, el administrador es Santiago Abascal, hecho a imagen y semejanza de los otros líderes de la derecha populista europea, como Le Pen, Orbán o Salvini. Abascal añadio a Pablo Casado y al PP al grupo.</t>
  </si>
  <si>
    <t>FRANCISCO PANIAGUA</t>
  </si>
  <si>
    <t>Los Reyes asisten al Concierto conmemorativo del 40 aniversario de la Constitución. También el Presidente del Gobierno Pedro Sánchez, el ex presidente Rodríguez Zapatero, altas autoridades del Estado, ministros y el líder de la oposición, Pablo Casado.</t>
  </si>
  <si>
    <t>pic.twitter.com/jHpydWaHcU</t>
  </si>
  <si>
    <t>ONDA CERO ROYAL CORRESPONDENT</t>
  </si>
  <si>
    <t>http://www.ondacero.es</t>
  </si>
  <si>
    <t>𝚄𝚛𝚛𝚊𝚌𝚊 𝙸𝚜𝚊𝚋𝚎𝚕</t>
  </si>
  <si>
    <t>Ya se lo dije, otro gallo........... Pedro, Santiago y Pablo. 3 gallos. Dejo fuera a Rivera y Casado, afortunadamente se salvan 2. Y el ABC es el que publicó artículo con título HOMOVOX. Qué pena de una mujer con una buena y afilada faca para cortar las tres crestas! (Soraya). RT @astur_galicia: Entrevista en ABC – Santiago Abascal: «Sánchez no dura ni un minuto en La Moncloa si adelanta las elecciones» / El líder de Vox revela que no tienen «ningún interés» en los cargos de la Junta de Andalucía, solo en empezar a sacar…</t>
  </si>
  <si>
    <t>https://twitter.com/astur_galicia/status/1070271603437522944
http://asturgalicia.net/2018/12/05/entrevista-en-abc-santiago-abascal-sanchez-no-dura-ni-un-minuto-en-la-moncloa-si-adelanta-las-elecciones-el-lider-de-vox-revela-que-no-tienen-ningun-interes-en-los-cargos/</t>
  </si>
  <si>
    <t>https://pbs.twimg.com/media/DtpeWeBUwAAX94y.jpg</t>
  </si>
  <si>
    <t>Auria</t>
  </si>
  <si>
    <t>"(...) Porque todo en este mundo está perdonado de antemano, y por tanto, todo cínicamente permitido".</t>
  </si>
  <si>
    <t>WOLF</t>
  </si>
  <si>
    <t>LEl CIS de Tezanos: Pedro Sánchez casi doblaría en votos a Pablo Casado y Ciudadanos supera al PP.A COCINA DE TEZANOS NECESITA UNA VISITA DE ALBERTO CHICOTE, APESTA A PODREDUMBRE...!! La Cocina de Tezanos apesta, es fétida y desvergonzada</t>
  </si>
  <si>
    <t>ex http://militar.de la derecha.amigo de mis amigos.nacionalidad española.</t>
  </si>
  <si>
    <t>EP | Mundo</t>
  </si>
  <si>
    <t>https://pbs.twimg.com/media/DtrTgr0XgAEvh1s.jpg</t>
  </si>
  <si>
    <t>Noticias del Mundo. Cadena de Noticias @EP_Mundo</t>
  </si>
  <si>
    <t>http://epmundo.com</t>
  </si>
  <si>
    <t>Pablo Casado presentará este viernes en Teruel a Emma Buj como candidata del PP a la Alcaldía</t>
  </si>
  <si>
    <t>http://www.diariodeteruel.es/noticia.asp?notid=1010751&amp;secid=1#.XAghuOI7p98.twitter</t>
  </si>
  <si>
    <t>J.L.M #RED</t>
  </si>
  <si>
    <t>Recuerdo cuando Zapatero llamaba a Aznar extrema derecha, después Sánchez se lo decía a Pablo Casado y ahora se lo llaman a VOX. En resumen... todo el q no piense como la izquierda .... es extrema derecha Todo muy lógico</t>
  </si>
  <si>
    <t xml:space="preserve">Aguadulce-Almeria-España </t>
  </si>
  <si>
    <t>Toco todos los palos: humor, poesia, politica.. mi idolo: mi padre . Mi ultima gran perdida: mi http://perra.Viva Motril RI Fernando is faster than you</t>
  </si>
  <si>
    <t>El alcalde de Murcia, José Ballesta, optará a la reelección por el PP en las elecciones locales de 2019, según se ha sabido hoy al anunciar el partido que estará arropado en el acto de presentación de su candidatura por el presidente nacional de la formación, Pablo Casado.</t>
  </si>
  <si>
    <t>https://pbs.twimg.com/media/DtrJeSiXQAAFjBd.jpg</t>
  </si>
  <si>
    <t>La Historia Es Meme</t>
  </si>
  <si>
    <t>Tuvo que venir Pablo Casado de Castilla la Vieja a fastidiar el meme.</t>
  </si>
  <si>
    <t>https://pbs.twimg.com/media/DtrHRzuWoAEMkNc.jpg</t>
  </si>
  <si>
    <t>Las Españas</t>
  </si>
  <si>
    <t>~La Historia Es Meme~ La mayor página de humor histórico en castellano de Instagram (66k). Casi todo creado por nosotros. Marchando por la senda constitucional.</t>
  </si>
  <si>
    <t>https://www.instagram.com/la_historia_es_meme/</t>
  </si>
  <si>
    <t>Mayor Reisman</t>
  </si>
  <si>
    <t>Por si teníamos dudas de que Pablo Casado es un bluff, Feijoo nos lo recuerda una vez más. RT @ldpsincomplejos: Que dice el que quiere incorporar Galicia a la Lusofonía que "Vox no tiene cabida en Galicia". Bueno, yo creo que mejor dejamos que sean los electores los que opinen, ¿no, don Alberto?</t>
  </si>
  <si>
    <t>https://twitter.com/ldpsincomplejos/status/1070379385813897217
https://www.libertaddigital.com/espana/2018-12-05/feijoo-vox-no-tiene-cabida-en-galicia-1276629430/</t>
  </si>
  <si>
    <t>Aficionado al cine</t>
  </si>
  <si>
    <t>http://major-reisman-cine-belico.blogspot.com/</t>
  </si>
  <si>
    <t>Centro Asturiano Barcelona</t>
  </si>
  <si>
    <t>Pegollu' para Santiago García Granda y 'Madreñazu' para Pablo Casado</t>
  </si>
  <si>
    <t>https://ift.tt/2Umhkkn
https://ift.tt/eA8V8J</t>
  </si>
  <si>
    <t>Carrer del Naranjo de Bulnes, 1-7, 08034 Barcelona</t>
  </si>
  <si>
    <t>Centro Asturiano ubicado en la ciudad de Barcelona. Pásate y descubre nuestras actividades tanto deportivas como culturales. ¡Más información en nuestra web!</t>
  </si>
  <si>
    <t>http://www.centroasturianobarcelona.com/</t>
  </si>
  <si>
    <t>Pegollu' para Santiago García Granda y 'Madreñazu' para Pablo Casado #Asturias</t>
  </si>
  <si>
    <t>https://www.elcomercio.es/asturias/pegollu-santiago-garcia-granda-madrenazu-pablo-casado-20181205190548-nt.html</t>
  </si>
  <si>
    <t>Francisco Rod Aceta</t>
  </si>
  <si>
    <t>Lorena Yusta, vocal de Carmena, a Pablo Casado: "¡El que siembra miseria recoge bombas lapa!"</t>
  </si>
  <si>
    <t>BARCELONA</t>
  </si>
  <si>
    <t>pasaba por aquí!</t>
  </si>
  <si>
    <t>EL COMERCIO</t>
  </si>
  <si>
    <t>Asturias - España</t>
  </si>
  <si>
    <t>Diario decano de la prensa asturiana fundado en 1878</t>
  </si>
  <si>
    <t>http://www.elcomercio.es</t>
  </si>
  <si>
    <t>El PP tiene en el aire sus candidaturas en Madrid: Garrido y Almeida presionan ante el silencio de Casado  Informa @Sofi_pm</t>
  </si>
  <si>
    <t>https://www.eldiario.es/madrid/Garrido-Almeida-candidaturas-Pablo-Casado_0_842716485.html</t>
  </si>
  <si>
    <t>https://pbs.twimg.com/media/Dtq7YW-XcAEKd_u.jpg</t>
  </si>
  <si>
    <t>Casado e Iglesias, los líderes peor valorados. Sánchez mantiene el primer puesto mientras que Rivera recorta diferencias con Garzón, según el CIS. @NaxoCaballero27 @El_Plural</t>
  </si>
  <si>
    <t>https://pbs.twimg.com/media/Dtq3-m_W0AMPHxo.jpg</t>
  </si>
  <si>
    <t>Jose Juan</t>
  </si>
  <si>
    <t>PSOE carga contra la comisión sobre la tesis de Sánchez en el Senado y ERC baraja pedir que declare Pablo Casado</t>
  </si>
  <si>
    <t>https://www.lavanguardia.com/vida/20181204/453341742314/psoe-carga-contra-la-comision-sobre-la-tesis-de-sanchez-en-el-senado-y-erc-baraja-pedir-que-declare-pablo-casado.html</t>
  </si>
  <si>
    <t>redondela</t>
  </si>
  <si>
    <t>solo se que no se nada y cuanto mas se mas pienso que me queda mucho</t>
  </si>
  <si>
    <t>http://blogjjredondela.blogspot.com/</t>
  </si>
  <si>
    <t>Francisco Fernandez</t>
  </si>
  <si>
    <t>La voz de los ultras culpa al PP y a los socialdemócratas europeos de todos los males europeos. ¿ Siguen Pablo Casado, y Rivera enamorados del Ultra.??</t>
  </si>
  <si>
    <t>https://pbs.twimg.com/media/Dtq24wEWwAMQOXw.jpg</t>
  </si>
  <si>
    <t>Susana González</t>
  </si>
  <si>
    <t>Curioso q Vox q es antieuropeista se presente a unas elecciones Europeas q mundo este. PABLO CASADO VOX ES UN PARTIDO CONSTITUCIONALISTA? Jajajaja</t>
  </si>
  <si>
    <t xml:space="preserve">Cantabria </t>
  </si>
  <si>
    <t>el pueblo unido jamas sera vencido!!!!!!!</t>
  </si>
  <si>
    <t>fedora vega ☭</t>
  </si>
  <si>
    <t>Según Abascal @Pablo_Iglesias_ es responsable de la violencia en Andalucia. Este es idiota y provocador. Tonto como Pablo Casado</t>
  </si>
  <si>
    <t>Tierra</t>
  </si>
  <si>
    <t>exiliada chilena, judía y atea, pobre, comunista y ademas...mujer</t>
  </si>
  <si>
    <t>Pablo Suárez García</t>
  </si>
  <si>
    <t>Por esto los asturianistas le dan un "madreñazu" a Pablo Casado  vía @lanuevaespana</t>
  </si>
  <si>
    <t>https://www.lne.es/asturias/2018/12/05/asturianistas-le-dan-madrenazu-pablo/2391958.html</t>
  </si>
  <si>
    <t>Dr. en Filoloxía por @uniovi_info. Académicu d'@ALLA_ast. Columnista de @LaVozdelTrubia.</t>
  </si>
  <si>
    <t>Si a Pablo Casado le preguntas donde está situada Asturies, estoy seguro que no la sabe situar exactamente, pero eso si, este inculto de masteres falsos, es capaz de decir que no se habla asturianu. Que atrevida es la ignorancia....</t>
  </si>
  <si>
    <t>Guadalajara, España</t>
  </si>
  <si>
    <t>SETI I</t>
  </si>
  <si>
    <t>El PP tiene en el aire sus candidaturas en Madrid: Garrido y Almeida presionan ante el silencio de Casado  via @eldiario_Madrid</t>
  </si>
  <si>
    <t>https://www.eldiario.es/_323ad545</t>
  </si>
  <si>
    <t>Gipuzkoa</t>
  </si>
  <si>
    <t>spain</t>
  </si>
  <si>
    <t>Catalán,Republicano,de izquierdas, en lucha por los derechos civiles y humanos, por la Igualdad Social y la Justicia. Casa de acogida de animales abandonados.</t>
  </si>
  <si>
    <t>http://page.is/alfred-martin</t>
  </si>
  <si>
    <t>#LaManada Albert Rivera y Pablo Casado corriendo por que les pilla Voz.</t>
  </si>
  <si>
    <t>https://pbs.twimg.com/media/DtqvawPW0AAhw1h.jpg</t>
  </si>
  <si>
    <t>The world</t>
  </si>
  <si>
    <t>Cruz Verde</t>
  </si>
  <si>
    <t>y pensar que este era el elegido antes de la carambola de Pablo Casado... RT @Libertariannest: Constituido en único y elector máximo él solito lo ha decido. Por que él lo vale.</t>
  </si>
  <si>
    <t>https://twitter.com/Libertariannest/status/1070350882745802752
https://twitter.com/libertaddigital/status/1070348344340303872</t>
  </si>
  <si>
    <t>Uno de los fundadores de PLAFARMA,asociación constituída para lograr la libertad de ejercicio profesional en el sector farmacéutico. Mis opiniones son sólo mías</t>
  </si>
  <si>
    <t>http://www.plafarma.org</t>
  </si>
  <si>
    <t>https://pbs.twimg.com/media/DtqsX2CXgAEOtFh.jpg</t>
  </si>
  <si>
    <t>La secretaria general del PSOE-A y presidenta de la Junta en funciones, Susana Díaz, ha criticado que el presidente del PP, Pablo Casado, esté dispuesto a "dar" consejerías a Vox con tal de recibir su apoyo.</t>
  </si>
  <si>
    <t>http://ow.ly/ufOQ30mS11d</t>
  </si>
  <si>
    <t>Pedro Sánchez culpa al PP del auge de VOX: 'Abascal es un referente que la gente no encuentra en Pablo Casado'</t>
  </si>
  <si>
    <t>https://pbs.twimg.com/media/Dtqq_uvWoAA5YUp.jpg</t>
  </si>
  <si>
    <t>Cinco Días</t>
  </si>
  <si>
    <t>Twitter oficial de Cinco Días, decano de la prensa económica y empresarial en España / Official Tw for Cinco Días, oldest Spanish economic and business paper</t>
  </si>
  <si>
    <t>http://cincodias.com</t>
  </si>
  <si>
    <t>Jordi Evole ve: *EL FASCISMO* en VOX y a un *INCENDIARIO* en Pablo Casado.-  vía @YouTube</t>
  </si>
  <si>
    <t>https://youtu.be/sMulPbho34g</t>
  </si>
  <si>
    <t>Bender El Que Ofende</t>
  </si>
  <si>
    <t>Según el CIS, a Albert Rivera y Pablo Casado no les pasaría factura pactar con VOX porque, al fin y al cabo, todos vienen del mismo sitio.</t>
  </si>
  <si>
    <t>Besa mi brillante culo metálico!</t>
  </si>
  <si>
    <t>Ricardo de Querol</t>
  </si>
  <si>
    <t>"Las posturas del joven presidente del PP, Pablo Casado, mezclando inmigración y delincuencia, parecen ser testigos de un punto de inflexión que, lejos de debilitar a Vox, corre el riesgo de justificar y normalizar su discurso". Editorial de Le Monde</t>
  </si>
  <si>
    <t>https://www.huffingtonpost.es/2018/12/04/el-duro-editorial-de-le-monde-que-no-gustara-ni-a-casado-ni-a-rivera-es-peligroso_a_23608193/?ncid=other_twitter_cooo9wqtham&amp;utm_campaign=share_twitter</t>
  </si>
  <si>
    <t>Periodismo desde 1988 / Journalism since 1988. @el_pais. Tuiteo sobre lo que me interesa (sobre casi todo). Si está entre comillas no lo digo yo</t>
  </si>
  <si>
    <t>http://elpais.com</t>
  </si>
  <si>
    <t>💦Aguas Neutrales</t>
  </si>
  <si>
    <t>Pablo Casado: "Los españoles no colonizábamos, lo que hacíamos era tener una España más grande"</t>
  </si>
  <si>
    <t>https://www.huffingtonpost.es/2018/11/17/pablo-casado-los-espanoles-no-colonizabamos-lo-que-haciamos-era-tener-una-espana-mas-grande_a_23592393/</t>
  </si>
  <si>
    <t>https://pbs.twimg.com/media/DtqbAY1WkAAVNJN.jpg</t>
  </si>
  <si>
    <t>El poder reside en las cosas que nos unen, no en las que nos separan ¡Bienvenido a @AguasNeutrales!</t>
  </si>
  <si>
    <t>Fernando Torres</t>
  </si>
  <si>
    <t>Me ha gustado un vídeo de @YouTube ( - Monumental zasca de Pablo Echenique a Pablo Casado).</t>
  </si>
  <si>
    <t>http://youtu.be/ZI3soGTx21o?a</t>
  </si>
  <si>
    <t>Alberto Sanz Blanco</t>
  </si>
  <si>
    <t>Valoración de los líderes políticos. Ninguno aprueba. @sanchezcastejon 3.9 @Albert_Rivera 3.5 @pablo_iglesias 3 @pablocasado_ 3</t>
  </si>
  <si>
    <t>https://amp.lasexta.com/noticias/nacional/el-cis-suspende-a-los-politicos-sanchez-roza-el-4-rivera-baja-medio-punto-e-iglesias-y-casado-se-instalan-en-el-3_201812055c07e3570cf222fc94edb830.html?__twitter_impression=true</t>
  </si>
  <si>
    <t>Periodista y analista político. Crítico artístico en @canalhablamos. Informado @telediario_tve opinado @abc_es Antes @Inforadio_UCM Sígueme y sabrás qué pienso</t>
  </si>
  <si>
    <t>http://albertosanzblanco.wordpress.com</t>
  </si>
  <si>
    <t>Vinicius José🇮🇨</t>
  </si>
  <si>
    <t>-Oye, Macu, ¿qué nota le ponemos a Pdr? -Ponle un 3,9 -¿A Casado? -Ponle lo mismo que a Pablo pa que no se note.</t>
  </si>
  <si>
    <t>“Señor cura, señor cura, procure usted a mi mujer darle un beso, que yo procuraré del palo dejarlo tieso”</t>
  </si>
  <si>
    <t>RR NEWS</t>
  </si>
  <si>
    <t>El @scrats_regantes solicita una reunión urgente a Sánchez Castejón, Pablo Casado, Albert Rivera, Pablo Iglesias y Santiago Abascal para hablar del futuro del trasvase Tajo-Segura.</t>
  </si>
  <si>
    <t>Murcia-Spain</t>
  </si>
  <si>
    <t>Periodista. Cuenta personal. Art. 20 Constitución huevoleaks@gmail.com</t>
  </si>
  <si>
    <t>Cafecito News!</t>
  </si>
  <si>
    <t>https://pbs.twimg.com/media/DtqYGP-X4AAB_CH.jpg</t>
  </si>
  <si>
    <t>Cultura, arte y comunicación con el acompañante perfecto, un café.</t>
  </si>
  <si>
    <t>SALUD Y REPUBLICA</t>
  </si>
  <si>
    <t>Monumental zasca de Pablo Echenique a Pablo Casado:  vía @YouTube</t>
  </si>
  <si>
    <t>El PP ha sembrado una tormentosa República y va ha recoger una tempestad de III REPUBLICA</t>
  </si>
  <si>
    <t>La valoración de líderes según el CIS</t>
  </si>
  <si>
    <t>pedro L G</t>
  </si>
  <si>
    <t>Respecto a los pactos en Andalucía habla Pablo Casado. ¿Y la marioneta que dice?.</t>
  </si>
  <si>
    <t>Aficionado a la fotografía.Me gusta el senderismo y los deportes, y sobre todo viajar cuando se puede.</t>
  </si>
  <si>
    <t>Pablo Casado</t>
  </si>
  <si>
    <t>Siempre soñé con poder usar la expresión "Docere et delectare" en algún artículo. Hoy, por fin, lo he logrado:  vía @eldebatedehoy</t>
  </si>
  <si>
    <t>https://eldebatedehoy.es/historia/hispania-juego/</t>
  </si>
  <si>
    <t>Arrière du Peloton</t>
  </si>
  <si>
    <t>Graduado en Humanidades y Periodismo. Redactor en @eldebatedehoy. Disfrutando en el podcast de @Eagles_Spain.</t>
  </si>
  <si>
    <t>http://www.eldebatedehoy.es</t>
  </si>
  <si>
    <t>https://pbs.twimg.com/media/DtqTfClXgAATZTP.jpg</t>
  </si>
  <si>
    <t>Jorge Hernández Buja</t>
  </si>
  <si>
    <t>Lo más tranquilizador, tras los resultados de Andalucía, el pitorreo interno del PSOE y las movilizaciones de Podemos... es que al mando de la segunda fuerza política está Pablo Casado. Todo muy halagüeño.</t>
  </si>
  <si>
    <t>Coruscant</t>
  </si>
  <si>
    <t>Director creativo y profesor. Vamos, pintamonas y cuentacuentos con títulos. Siempre escaso de tiempo. 😭</t>
  </si>
  <si>
    <t>Vane 🦉</t>
  </si>
  <si>
    <t>Acabo de abrir un periódico y lo primero que leo es que el PP igual pacta con VOX para hacer gobierno en Andalucía y que Pablo Casado lo justifica diciendo que no tiene un programa electoral como otros partidos de extrema derecha de Europa... Mira, yo me bajo de la vida.</t>
  </si>
  <si>
    <t>Soy pesada con los libros, series, pelis... Si me seguís es bajo vuestra responsabilidad. Homer Simpson es mi ídolo. Soy Hufflepuff así que soy buena gente ✌🏻</t>
  </si>
  <si>
    <t>Sr. Rodríguez</t>
  </si>
  <si>
    <t>Yo creo que los presupuestos del PSOE los debería presentar Pablo Casado, que a este tío se lo aprueban todo.</t>
  </si>
  <si>
    <t>España. El musical</t>
  </si>
  <si>
    <t>Mercenario del guion.</t>
  </si>
  <si>
    <t>http://www.amaliorodriguez.com</t>
  </si>
  <si>
    <t>Fernando Cruz</t>
  </si>
  <si>
    <t>Hay que ser muy tonto para equivocarse... Claramente el de la derecha es Pablo Rivera y el de la izquierda (centro derecha) es Albert Casado.</t>
  </si>
  <si>
    <t>https://pbs.twimg.com/media/DtqMXfVWoAU0aXi.jpg</t>
  </si>
  <si>
    <t>Docente, CM, pero sobre todo un orgulloso y feliz padre de dos bellezas.</t>
  </si>
  <si>
    <t>Javier Muñoz Caso</t>
  </si>
  <si>
    <t>Pablo Casado busca candidatos "duros" en el PP para frenar a Vox</t>
  </si>
  <si>
    <t>https://www.elmundo.es/espana/2018/12/05/5c06eb2afc6c839b5f8b4622.html</t>
  </si>
  <si>
    <t>En @RadioAltNews de @cadena_iberica en el País Vasco</t>
  </si>
  <si>
    <t>http://altnews.es</t>
  </si>
  <si>
    <t>Agr Nineta</t>
  </si>
  <si>
    <t>En @elconfidencial: Casado: "Vox tiene que decidir si tiene una posición pasiva o activa en Andalucía"</t>
  </si>
  <si>
    <t>https://www.elconfidencial.com/elecciones-andalucia/2018-12-04/elecciones-andalucia-pablo-casado-pp-vox-ciudadanos_1685222/?utm_source=twitter&amp;utm_medium=social&amp;utm_campaign=BotoneraWeb</t>
  </si>
  <si>
    <t>Me preocupa el estado de corrupción. https://angomrue.wordpress.com/ https://www.youtube.com/channel/UCOKdIN4jTaTefA-0bw2p49Q</t>
  </si>
  <si>
    <t>https://twiter.com/agrnineta</t>
  </si>
  <si>
    <t>Albert ❄️ Me cago en mi vida edition 🖤</t>
  </si>
  <si>
    <t>Nueva edición de «Tu facha me suena», con Santi Abascal, Albert Rivera y Pablo Casado como miembros expertos de nuestro jurado, pronto en tu televisión! Serán muy duros con los candidatos? No seas un rojo de mierda, no te lo pierdas!</t>
  </si>
  <si>
    <t>https://pbs.twimg.com/media/DtqLUWnWwAEPlHF.jpg</t>
  </si>
  <si>
    <t>✊ Alcemos la voz hasta que teman nuestras cuerdas vocales 🎮 Overwatch nivell usuari ☪️ Siervo de Lilith 🖤 Mi bae se llama Shira, y tiene 4 patas</t>
  </si>
  <si>
    <t>http://about.me/albert_nevado</t>
  </si>
  <si>
    <t>¿Y Pablo Casado que dice de Vox? Nada,hay que esperar lo que diga Aznar ¿Y que dice Aznar? Que Vox y el PP son "amigos para siempre" ¡No hay más preguntas!</t>
  </si>
  <si>
    <t>He añadido un vídeo a una lista de reproducción de @YouTube ( - Apoteósico Zasca a Pablo Casado tras su</t>
  </si>
  <si>
    <t>http://youtu.be/-Jis-oq4MV0?a</t>
  </si>
  <si>
    <t>Apoteósico Zasca a Pablo Casado tras su tuit sobre Podemos y Venezuela ¡¡¡BRUTAL!!!:  vía @YouTube</t>
  </si>
  <si>
    <t>https://pbs.twimg.com/media/DtqBuN1X4AA8Nl5.jpg</t>
  </si>
  <si>
    <t>La Nueva España</t>
  </si>
  <si>
    <t>Por esto los asturianistas le dan un "madreñazu" a Pablo Casado</t>
  </si>
  <si>
    <t>La Nueva España Digital (LNE.es)</t>
  </si>
  <si>
    <t>http://www.lne.es</t>
  </si>
  <si>
    <t>Vandals RCD</t>
  </si>
  <si>
    <t>Pablo Casado niega ser Albert Rivera RT @abc_es: El presidente de Nigeria desmiente haber muerto y que gobierne su clon</t>
  </si>
  <si>
    <t>https://twitter.com/abc_es/status/1069644938814603265
http://ver.abc.es/4en2t2</t>
  </si>
  <si>
    <t>Only RCD</t>
  </si>
  <si>
    <t>MURCIA</t>
  </si>
  <si>
    <t>https://pbs.twimg.com/media/Dtp8PhTW0AEmaD7.jpg</t>
  </si>
  <si>
    <t>Rafael Montesinos</t>
  </si>
  <si>
    <t>Pablo Casado no descarta ceder consejerías a Vox en un Gobierno de Juanma Moreno  vía @eldiacordoba</t>
  </si>
  <si>
    <t>https://www.eldiadecordoba.es/_4ddd9e2a</t>
  </si>
  <si>
    <t>Sigo siendo un aprendiz,... y hasta las narices de ver la corrupción política y empresarial de este país.</t>
  </si>
  <si>
    <t>Pablo Casado busca candidatos "duros" en el PP para frenar a Vox  vía @elmundoes</t>
  </si>
  <si>
    <t>Pablo Iglesias y Pablo Casado empatan como líderes peor valorados, según el #CIS (Pedro Sánchez se lleva la mejor nota)</t>
  </si>
  <si>
    <t>https://www.eleconomista.es/politica/noticias/9564701/12/18/El-PSOE-seguiria-sacando-mas-de-10-puntos-a-PP-y-Ciudadanos-en-unas-generales-segun-el-CIS-elaborado-justo-antes-de-las-andaluzas.html</t>
  </si>
  <si>
    <t>https://pbs.twimg.com/media/Dtp51JSXgAA7eV1.jpg</t>
  </si>
  <si>
    <t>Ansel</t>
  </si>
  <si>
    <t>Quiero que Albert Rivera, Pablo Casado y Santiago Abascal (sobre todo Abascal) prometan, firmen, que no van a indultar a los de la manada.</t>
  </si>
  <si>
    <t>Socialdemócrata (por tanto, no del PSOE), no independentista. Esperando el advenimiento de satán Rivera. No #LETntos o #REDtarded. Insultos = Silencio | Bloqueo</t>
  </si>
  <si>
    <t>https://pbs.twimg.com/media/Dtpy8b0W4AEHuwA.jpg</t>
  </si>
  <si>
    <t>https://pbs.twimg.com/media/DtpsvDMXcAA7vaH.jpg</t>
  </si>
  <si>
    <t>EL PAÍS Madrid</t>
  </si>
  <si>
    <t>La presencia de Pablo Casado en el homenaje de la Comunidad a la Constitución no sirvió para confirmar a Ángel Garrido como candidato del PP para las elecciones autonómicas de mayo de 2019.</t>
  </si>
  <si>
    <t>http://ow.ly/ODES30mRXWT</t>
  </si>
  <si>
    <t>Política, cultura, movilidad, ecología, vecinos. Con los 👁️👁️puestos en #Madrid📲FB http://www.facebook.com/elpaismadrid/ 📷IG http://instagram.com/patiodevecinos</t>
  </si>
  <si>
    <t>http://ccaa.elpais.com/ccaa/madrid.html</t>
  </si>
  <si>
    <t>Joseleana5461@gmail.</t>
  </si>
  <si>
    <t>Si empieza mintiendo y engañando políticamente estas acabado a no ser que te llames pablo casado,hay que aguantar y volver a votar de nuevo x el bien de España y los españoles,#tiempopactosarv</t>
  </si>
  <si>
    <t>La France en Espagne</t>
  </si>
  <si>
    <t>¡Enhorabuena Pablo @herascasado! 👏🏽 ➡️Fotos y discursos aquí:  🎹🎼🇫🇷🇪🇸#musique #Musica @FestivalGranada @IF_Espana RT @Teatro_Real: El principal director invitado del Teatro Real, @herascasado, ha sido distinguido como “Caballero de la Orden de las Artes y las Letras” del gobierno francés ✨ ¡Enhorabuena! 👏</t>
  </si>
  <si>
    <t>https://bit.ly/2zHQRFc
https://twitter.com/Teatro_Real/status/1069710226742484999</t>
  </si>
  <si>
    <t>https://pbs.twimg.com/media/DthfgaJXQAMS8g3.jpg</t>
  </si>
  <si>
    <t>Compte officiel de l'ambassade de 🇫🇷 en Espagne ↔️ cuenta oficial de la Embajada de Francia en 🇪🇸🤝🇫🇷</t>
  </si>
  <si>
    <t>https://es.ambafrance.org</t>
  </si>
  <si>
    <t>Mamen</t>
  </si>
  <si>
    <t>https://ift.tt/2BRkzsL</t>
  </si>
  <si>
    <t>Periodista. Redactora de 'Family Duo'</t>
  </si>
  <si>
    <t>Mari Carmen Arranz</t>
  </si>
  <si>
    <t>Periodista. Redactora del talent show musical @FamilyDuoAPunt</t>
  </si>
  <si>
    <t>http://es.linkedin.com/in/maricarmenarranztarin</t>
  </si>
  <si>
    <t>TROMPETA..7⏳</t>
  </si>
  <si>
    <t>Los políticos corrosivos que a Pablo Casado aún le quedan por sacar del PP</t>
  </si>
  <si>
    <t>https://www.youtube.com/attribution_link?a=mLBUwB0ClIg&amp;u=%2Fwatch%3Fv%3D7YzxPU64kIo%26feature%3Dshare</t>
  </si>
  <si>
    <t xml:space="preserve">Barcelona. España </t>
  </si>
  <si>
    <t>Nunca lleves tus mejores pantalones cuando salgas a luchar por la paz y la libertad</t>
  </si>
  <si>
    <t>VOX, Franco, Cataluña, Pablo Casado: 6 claves de la entrevista de Pedro Sánchez con Piqueras #SanchezT5</t>
  </si>
  <si>
    <t>https://pbs.twimg.com/media/DtpnGsmWoAAF0zJ.jpg</t>
  </si>
  <si>
    <t>Sevilla 24 horas</t>
  </si>
  <si>
    <t>Susana Díaz asegura que seguirá en el Parlamento aunque no gobierne  Las secretaria general del PSOE-A y presidenta de la Junta en funciones, Susana Díaz, ha criticado que el presidente del PP, Pablo Casado, esté dispuesto a “dar” consejerías a Vox con t…</t>
  </si>
  <si>
    <t>https://ift.tt/2AS8lya</t>
  </si>
  <si>
    <t>Diario digital con noticias de Sevilla, Andalucía y el mundo</t>
  </si>
  <si>
    <t>http://www.sevilla24horas.com</t>
  </si>
  <si>
    <t>Javi</t>
  </si>
  <si>
    <t>Viendo la actitud de Pablo Casado tiene pinta que si ahora mismo Vox le pide en los pactos de gobierno en Andalucia a Casado hacer un genocidio de mujeres, rojos, intelectuales, cientificos inmigrantes, zurdos y pelirrojos se le produce una ereccion y le dice si a todo</t>
  </si>
  <si>
    <t>https://twitter.com/iescolar/status/1070024366577061888
https://www.eldiario.es/rastreador/Monde-advierte-Ciudadanos-Casado-normalizar-extrema-derecha_6_842775750.html</t>
  </si>
  <si>
    <t>Enfermero. Sanitario precario defensor de la sanidad publica Aficionado a los juegos de mesa y rol a politiquear y a la musica heavy. Alcorcón y Ruanes</t>
  </si>
  <si>
    <t>Alex Fortea</t>
  </si>
  <si>
    <t>Pablo Casado lo celebraría: Pablo Iglesias no descarta facilitar un gobierno de Ciudadanos en Andalucía para frenar a Vox  vía @elmundoes</t>
  </si>
  <si>
    <t>Asociación ForoLC</t>
  </si>
  <si>
    <t>Isabel Díaz Ayuso fue uno de los primeros apoyos de Pablo Casado en su carrera por liderar el PP y ahora...</t>
  </si>
  <si>
    <t>https://www.libertaddigital.com/espana/politica/2018-12-05/isabel-diaz-ayuso-lo-que-viene-en-contra-es-un-frente-popular-que-quiere-llevarnos-a-una-dictadura-1276629381/</t>
  </si>
  <si>
    <t>Asociación no gubernamental. ForoLC apuesta por la reflexión como medio para combatir la corrupción y la involución.</t>
  </si>
  <si>
    <t>https://www.facebook.com/elforolc/</t>
  </si>
  <si>
    <t>La Radio a la Carta</t>
  </si>
  <si>
    <t>Pablo Echenique ha vuelto a convertirse en protagonista de las redes por airear una reflexión tan re...</t>
  </si>
  <si>
    <t>http://copiajuridica.es/2018/12/05/echenique-disparata-una-vez-masculpando-de-la-sentencia-de-la-manada-a-casado-y-vox</t>
  </si>
  <si>
    <t>http://copiajuridica.es</t>
  </si>
  <si>
    <t>Casado abre la puerta a ceder a #Vox consejerías de la Junta</t>
  </si>
  <si>
    <t>https://www.diariocordoba.com/noticias/espana/pablo-casado-abre-puerta-ceder-consejerias-junta-vox_1268501.html</t>
  </si>
  <si>
    <t>Leticia Vélez</t>
  </si>
  <si>
    <t>"El prestigioso diario francés Le Monde ha publicado este martes un duro editorial que supone una seria advertencia a los líderes del PP y de Ciudadanos, Pablo Casado y Albert Rivera respectivamente, por su papel ante la irrupción de Vox en Andalucía."</t>
  </si>
  <si>
    <t>http://a.msn.com/01/es-es/BBQtLvD?ocid=sf</t>
  </si>
  <si>
    <t>Magic Frosty...el Escarchador</t>
  </si>
  <si>
    <t>http://magicfrostyspain.com</t>
  </si>
  <si>
    <t>Digo yo que si Pablo Casado decide que el PP gobierne Andalucía de la mano de los fascistas homófobos de VOX, todos los peperos homosexuales tendrán que darse de baja del PP ¿No, @JavierMaroto? #VOXilegalización (Viñeta de @bernileon1)</t>
  </si>
  <si>
    <t>https://pbs.twimg.com/media/Dtphs42XQAEAQ38.jpg</t>
  </si>
  <si>
    <t>La Niña Ventresca</t>
  </si>
  <si>
    <t>Cuando Pablo Casado usaba el caso Diana Quer para colarnos la permanente revisable no era peor que estos usando la sentencia de la manada para pedir el voto a las mujeres (de las que solo se empezaron a acordar el domingo). Mismo burro, distinta albarda. RT @pnique: Mientras Casado y Abascal atacan al feminismo y una justicia machista dictamina que los cinco salvajes de la Manada violando a una mujer no es violencia, nosotr@s presentaremos una Ley Integral de Defensa de la Libertad Sexual y contra las Violencias Sexuales. 📺👇</t>
  </si>
  <si>
    <t>https://twitter.com/pnique/status/1070258076874362880</t>
  </si>
  <si>
    <t>pic.twitter.com/2wUMID7DWe</t>
  </si>
  <si>
    <t>Feminista, abolicionista, contra la Gestación subrogada, contra el capitalismo, en fin: a favor de las mujeres Traductora colaboradora en @tradxabolicion</t>
  </si>
  <si>
    <t>https://laincreibleninaventresca.blogspot.com.es/</t>
  </si>
  <si>
    <t>KO Diario</t>
  </si>
  <si>
    <t>Qué...Ya se han repartido las carteras Albert Rivera, Pablo Casado y Santiago Abascal? Si hombre, ese intercambio de carteras y sillones que tanto criticaban a Pablo Iglesias. ESE. #AbascalAR #EleccionesAndalucía</t>
  </si>
  <si>
    <t>Galicia, España</t>
  </si>
  <si>
    <t>Pais multicolor👧🏿👦🏻👩🏽🧑</t>
  </si>
  <si>
    <t>UN KO AL DÍA...O MÁS. Depende del ambientazo que haya por aquí. Visítanos y síguenos en Facebook https://www.facebook.com/kodiario/</t>
  </si>
  <si>
    <t>https://www.facebook.com/kodiario/</t>
  </si>
  <si>
    <t>Fuensanta López</t>
  </si>
  <si>
    <t>ANDALUCES DE JAÉN El líder de la oposición, Pablo Casado, planteó al presidente uno de los miércoles pasados, una pregunta que no debió d... -</t>
  </si>
  <si>
    <t>https://www.cosasdeunabailarina.es/andaluces-de-jaen/</t>
  </si>
  <si>
    <t>https://pbs.twimg.com/media/Dtpfp10XQAAJ1DJ.jpg</t>
  </si>
  <si>
    <t>Profesora de Danza. Viajera. Amante de las Artes y la Música. Periodismo y Publicidad. Sígue mis noticias en:</t>
  </si>
  <si>
    <t>http://www.cosasdeunabailarina.es</t>
  </si>
  <si>
    <t>Agustín López</t>
  </si>
  <si>
    <t>Abascal, Pedro Sánchez, Rivera, Pablo Iglesias y Casado negociando en Madrid lo que se debe hacer en Andalucía. Pero, andaluz, a ti lo que te molesta es el trapo de las Ramblas.</t>
  </si>
  <si>
    <t>pic.twitter.com/TugSpo2734</t>
  </si>
  <si>
    <t>Geógrafo. Cartógrafo y consultor #GIS.</t>
  </si>
  <si>
    <t>Fernando Bonete</t>
  </si>
  <si>
    <t>“33 El Musical": una oportunidad perdida para poder acercar el mensaje de Jesús al siglo XXI. Ser moderno no significa ser simplista. Crítica de @pablo_casado</t>
  </si>
  <si>
    <t>https://eldebatedehoy.es/cultura/33-el-musical/</t>
  </si>
  <si>
    <t>Director de @eldebatedehoy. Profesor de Comunicación Digital en @USPCEU.</t>
  </si>
  <si>
    <t>Pablo Ruiz</t>
  </si>
  <si>
    <t>Javier Oviedo Gutier</t>
  </si>
  <si>
    <t>Habitantes de Atapuerca Burgos hace 780 miles de años son ancestros directos del cid campeador de Santiago Abascal, J M Aznar y Pablo Casado por parte de madre, linaje hispánico señorío de pura raza contra el libertinaje proletario la invasión islamica de OCCIDENTE Murcia sur RT @esbadillo: Increíble! Stanley Kubrick predijo la final Boca vs River !</t>
  </si>
  <si>
    <t>https://twitter.com/esbadillo/status/1066413165431410689</t>
  </si>
  <si>
    <t>pic.twitter.com/cOYPvt02Sz</t>
  </si>
  <si>
    <t>Pedro Sánchez , Pablo Iglesias , Susana Diaz , Teresa Rodriguez , Casado , Rivera ¿ Qué opinan sobre la falta de seguridad en el territorio nacional ? , ¿ que creen que se a de hacer para que está exista en el territorio nacional ? ¿ quien la promueve ? ¿ los apoyan ?</t>
  </si>
  <si>
    <t>https://twitter.com/cataladigitalok/status/1070000028331200517
http://cataladigital.cat/2018/12/04/durisimo-articulo-de-le-monde-contra-casado-y-rivera-deberan-dar-explicaciones-a-europa-si-negocian-con-vox/</t>
  </si>
  <si>
    <t>https://pbs.twimg.com/media/Dtpb7NnVAAAhFiL.jpg</t>
  </si>
  <si>
    <t>lopezbarrancojavier</t>
  </si>
  <si>
    <t>Lo de la ultraderecha en España es culpa de Catalunya. Porque Aznar, Losantos, Sánchez Dragó, C’s, Herrera, OkDiario, Rosa Díez, Javier Negre, La Razón, Albert Rivera, Pablo Casado, Fernández Díaz, Trillo, el ABC y El Mundo eran de izquierdas hasta antes de ayer.</t>
  </si>
  <si>
    <t>Sonia Villa</t>
  </si>
  <si>
    <t>Pablo Casado busca candidatos "duros" en el PP para frenar a Vox @elmundoes</t>
  </si>
  <si>
    <t>http://www.elmundo.es/espana/2018/12/05/5c06eb2afc6c839b5f8b4622.html</t>
  </si>
  <si>
    <t>https://pbs.twimg.com/media/DtpbMq8XcAAS6Hs.jpg</t>
  </si>
  <si>
    <t>Asturies</t>
  </si>
  <si>
    <t>Luchadora, Enamorada, Númerica, Apasionada, Organizada, Lectora compulsiva, Viajera.... No esperes que me rinda ante nada!!</t>
  </si>
  <si>
    <t>Juan.</t>
  </si>
  <si>
    <t>Pablo Casado, (como habla tanto) saca pecho, ¿porque?, su partido a bajado, Susana, a sido la ganadora, a perdido muchos botos, podemos a bajado, Cc, a doblado, YA SE SABE PORQUE CASADO SACA PECHO, SE UNE AL PARTIDO MAS INDESEABLE DE TODA EUROPA, SI Rivera le sigue, esta !perdido</t>
  </si>
  <si>
    <t>Solo deseo, salud, a todas las personas.🍏🍐🍊🍋</t>
  </si>
  <si>
    <t>Francisco Cohortado</t>
  </si>
  <si>
    <t>Ojalá alguien que te mire como Pablo Casado mira el culito rojigualdo de Santi Abascal 🇪🇸😍🥰🇪🇸</t>
  </si>
  <si>
    <t>https://pbs.twimg.com/media/DtpYh4MWoAI8ToK.jpg</t>
  </si>
  <si>
    <t>Rojo, laicista, republicano, feminista y antifascista de mente abierta. Defensor de la igualdad, de la justicia social, de la cultura y de lo público.</t>
  </si>
  <si>
    <t>Antonio Parra </t>
  </si>
  <si>
    <t>Pablo Casado busca candidatos "duros" en el PP para frenar a Vox | España</t>
  </si>
  <si>
    <t xml:space="preserve">Mundo </t>
  </si>
  <si>
    <t>Con esperanzas de recuperar lo perdido</t>
  </si>
  <si>
    <t>Iván González 🇪🇺</t>
  </si>
  <si>
    <t>Cuando descubra qué le da "argumentos" a Aznar, Losantos, Sánchez Dragó, C’s, Herrera, OkDiario, Rosa Díez, Javier Negre, La Razón, Albert Rivera, Pablo Casado, Fernández Díaz, Trillo, el ABC y El Mundo, el alegre Rufián va a implosionar. RT @gabrielrufian: Lo de la ultraderecha en España es culpa de Catalunya. Porque Aznar, Losantos, Sánchez Dragó, C’s, Herrera, OkDiario, Rosa Díez, Javier Negre, La Razón, Albert Rivera, Pablo Casado, Fernández Díaz, Trillo, el ABC y El Mundo eran de izquierdas hasta antes de ayer.</t>
  </si>
  <si>
    <t>https://twitter.com/gabrielrufian/status/1070053903570530304</t>
  </si>
  <si>
    <t>Principado de Asturias, Spain</t>
  </si>
  <si>
    <t>Proyecto de Ingeniero. Movilización y RRSS en la @FSA_PSOE. Culture for living, progressivism in order to do it worthily and ecology for it to be possible.</t>
  </si>
  <si>
    <t>Si Trump, Bolsonaro, Salvini, Orban, Hitler, Musolini, Franco, Marhuenda, Pablo Casado, Abascal... todos ellos tienen en común que son anticomunistas, quizá la respuesta contra el fascismo esté en el comunismo. Queridos niños, dejaos de dinámicas de grupo y espabilad.</t>
  </si>
  <si>
    <t>Susana Díaz seguirá en el Parlamento si no gobierna y critica que Casado pretenda dar consejerías a Vox  Las secretaria general del PSOE-A y presidenta de la Junta en funciones, Susana Díaz, ha criticado que el presidente del PP, Pablo Casado, esté dispu…</t>
  </si>
  <si>
    <t>https://ift.tt/2AVlcQ3</t>
  </si>
  <si>
    <t>❄Lily of the Valley❄</t>
  </si>
  <si>
    <t>Vas a una cita a ciegas y te encuentras cara a cara con Pablo Casado ¿Que haces? — Por qué iría alguien casado a una cita a ciegas</t>
  </si>
  <si>
    <t>https://curiouscat.me/George_Winters/post/724846945?t=1544005059</t>
  </si>
  <si>
    <t>Mi habitación</t>
  </si>
  <si>
    <t>no estoy borracho este soy yo de normal | hago MEMÉS y soy gracioso | lo último es mentira| jugador habitual de GGXrd | cuenta de dibujaciones @JuliaSumm3rs</t>
  </si>
  <si>
    <t>http://curiouscat.me/George_Winters</t>
  </si>
  <si>
    <t>https://pbs.twimg.com/media/DtpTRSvX4AAUKiQ.jpg</t>
  </si>
  <si>
    <t>Pedro Sánchez , Pablo Iglesias , Susana Diaz , Teresa rodriguez , Casado , Rivera ¿ Van a cumplir la constitución ¿ , cosa que hace VOX o van a incumplirla como llevan haciendo hasta ahora .</t>
  </si>
  <si>
    <t>http://www.senado.es/web/conocersenado/normas/constitucion/detalleconstitucioncompleta/index.html#titprelim</t>
  </si>
  <si>
    <t>CRITICO E INDOMITO.</t>
  </si>
  <si>
    <t>OPPIDUM NUMANCIA</t>
  </si>
  <si>
    <t>Celtibero.Tribu Arevacos.Republicano. Jacobino.Agnostico.Ultraconservador..Leal.Valiente.Decente.----------------</t>
  </si>
  <si>
    <t>Marcos Díez</t>
  </si>
  <si>
    <t>Entre Rajoy y Abascal había diferencias, pero entre Pablo Casado y Abascal no hay ninguna</t>
  </si>
  <si>
    <t>Palencia</t>
  </si>
  <si>
    <t>Vecino de Orden</t>
  </si>
  <si>
    <t>Anda pero si Abascal lleva toda la vida en la política... No como Pedro Sánchez, Pablo Casado, Albert Rivera y Pablo Iglesias con sus grandes carreras profesionales en el mundo de la empresa, la abogacía y la ciencia...</t>
  </si>
  <si>
    <t>Les Corts, les Espanyes</t>
  </si>
  <si>
    <t>De derechas para que no nos quiten misa ni cuartos/Ni buenismo ni malismo/Contra chusmización de la política/Antisectarios/ProVerdad/Fueros/Virtud en libertad</t>
  </si>
  <si>
    <t>qcabrones🌈</t>
  </si>
  <si>
    <t>#AbascalAR Cosas que tienen en común con los PPERR@S que les regalan máster como a Cifuentes, Pablo Casado...</t>
  </si>
  <si>
    <t>https://pbs.twimg.com/media/DtpPyMWWwAAxS1b.jpg</t>
  </si>
  <si>
    <t>🔞RECUERDA EN TODOS LOS TWEET'S SON PRESUNTOS O PRESUNTAMENTE X AHORRAR CARÁCTERES🔞👬👫👭🔞QUIÉN VOTA Y APOYA A DELINCUENTES ES CÓMPLICE🌈</t>
  </si>
  <si>
    <t>Alexis Marí Malonda</t>
  </si>
  <si>
    <t>Eso es, a ver quién dice la burrada más grande... y así todo. Pablo Casado busca candidatos "duros" en el PP para frenar a Vox @elmundoes</t>
  </si>
  <si>
    <t>Dénia, Comunidad Valenciana</t>
  </si>
  <si>
    <t>Diputado, de momento. Detesto injusticias y el pan integral. Solo me fío de los frenos de mi Ducati. Vivo en el paraíso de Dénia y los reyes son Gaëlle y Aleko.</t>
  </si>
  <si>
    <t>👏👏 .@pablocasado_ muchos en #Baleares lo tenemos claro 😁 el candidato del .@ppbalears debe ser .@JRBauza x los motivos q ya te hemos dicho en millones de ocasiones 😉 Pablo Casado busca candidatos "duros" en el PP para frenar a Vox  vía @elmundoes</t>
  </si>
  <si>
    <t>ManuMuJarto</t>
  </si>
  <si>
    <t>#FelizMiércoles ¿Juanma Bonilla/Pablo Casado en modo desesperados? Estaremos atentos 🤔🤔🤔</t>
  </si>
  <si>
    <t>https://www.elindependiente.com/politica/2018/12/05/pp-dispuesto-estudiar-la-peticion-vox-cerrar-canal-sur/?utm_campaign=not&amp;utm_source=not_web&amp;utm_medium=navegador</t>
  </si>
  <si>
    <t>http://facebook.com</t>
  </si>
  <si>
    <t>https://pbs.twimg.com/media/DtpK9XPX4AEUFJU.jpg</t>
  </si>
  <si>
    <t>Delfos</t>
  </si>
  <si>
    <t>Pablo Casado y Albert Rivera traicionan a la democracia por un sillón en el Parlamento andaluz y pactan con los ultrafascistas....</t>
  </si>
  <si>
    <t>Todo pasa y todo queda......!!!</t>
  </si>
  <si>
    <t>El Mundo Castellón</t>
  </si>
  <si>
    <t>Castellón</t>
  </si>
  <si>
    <t>Estamos también en http://www.facebook.com/elmundocastellonaldia/</t>
  </si>
  <si>
    <t>http://www.elmundo.es/comunidad-valenciana/castellon.html</t>
  </si>
  <si>
    <t>España: mi utopía</t>
  </si>
  <si>
    <t>Pablo Casado busca candidatos "duros" en el PP para frenar a Vox. Ahí te quería ver, dejémonos de mariconeos estúpidos.  vía @elmundoes</t>
  </si>
  <si>
    <t>Eterna vigilancia de mis sentidos, es el precio de mi libertad.</t>
  </si>
  <si>
    <t>SuperVeraz!</t>
  </si>
  <si>
    <t>https://pbs.twimg.com/media/DtpJzDKXgAIFCyY.jpg</t>
  </si>
  <si>
    <t>Llenamos tu línea de tiempo con información relevante, actualizada y verificada.</t>
  </si>
  <si>
    <t>Pablo Casado: "La regeneración de España" 2012 in @libertaddigital 💉🇪🇸💊España, año cero 2011💉🇪🇸💊  … #15M #spanishRevolution #2011 #RevolucionesINducidas #FelizMiércoles La Manada #AbascalAR #DiadelVoluntariado El TSJN Ana Rosa #LaCafeteraPactox</t>
  </si>
  <si>
    <t>https://www.libertaddigital.com/opinion/pablo-casado/la-regeneracion-de-espana-64431/</t>
  </si>
  <si>
    <t>Miriam Romero</t>
  </si>
  <si>
    <t>La Constitución de todos</t>
  </si>
  <si>
    <t>http://dlvr.it/Qsscfv</t>
  </si>
  <si>
    <t>https://pbs.twimg.com/media/DtpII__VYAA7TMh.jpg</t>
  </si>
  <si>
    <t>Xàtiva, España</t>
  </si>
  <si>
    <t>Mujer, hija, esposa y madre. Somos lo que hacemos para cambiar lo que somos (E.Galeano) Funcionaria pública. FHN</t>
  </si>
  <si>
    <t>nomemandescallar5</t>
  </si>
  <si>
    <t>En búsqueda de los misales perdidos de Catalina. La ultima vez fueron vistos en Andorra. se sospecha que han viajado a 🇨🇭 suiza</t>
  </si>
  <si>
    <t>Antonio J. Paredes</t>
  </si>
  <si>
    <t>#Pablo_Casado busca #candidatos "duros" en el #PP para #frenar a #VOX 👏🏼👏🏼👏🏼  vía @elmundoes</t>
  </si>
  <si>
    <t>No te cortes en contar tanto lo que te gusta como lo que te indigna. Yo, desde luego, no lo hago..</t>
  </si>
  <si>
    <t>https://twitter.com/Mhemeroteca/status/1069343743508193280</t>
  </si>
  <si>
    <t>pic.twitter.com/QY5c2SZGef</t>
  </si>
  <si>
    <t>Teo de la calle</t>
  </si>
  <si>
    <t>El PP tiene en el aire sus candidaturas en Madrid: Garrido y Almeida presionan ante el silencio de Casado</t>
  </si>
  <si>
    <t>http://ow.ly/9q0u30mRTSa</t>
  </si>
  <si>
    <t>Getafe, Alhóndiga.</t>
  </si>
  <si>
    <t>🚧🚧Ciudadano del mundo, en constante construcción🚧🚧</t>
  </si>
  <si>
    <t>Raquel Abeledo</t>
  </si>
  <si>
    <t>Pablo Casado busca candidatos "duros" en el PP para frenar a Vox Malos tiempos para la lírica</t>
  </si>
  <si>
    <t>Ferrolana en La Isla / La Luna</t>
  </si>
  <si>
    <t>Si el hombre es formado por las circunstancias, entonces es necesario formar las circunstancias humanamente (K. Marx, F. Engels) ....e canfurnadas! ___•____∶)</t>
  </si>
  <si>
    <t>https://sentipensantequenadasabeypocopiensa.wordpress.com</t>
  </si>
  <si>
    <t>BNG</t>
  </si>
  <si>
    <t>#AnaVsFeixóo @anaponton Ten vostede un record que era difícil de conseguir: 10 anos, cero competencias conseguidas. E agora o seu presidente Pablo Casado inicia unha ofensiva para recentralizar a empezar pola educación.</t>
  </si>
  <si>
    <t>https://pbs.twimg.com/media/DtpEsN-WkAA91Pn.jpg</t>
  </si>
  <si>
    <t>Twitter oficial do Bloque Nacionalista Galego. Para que coñezas o que facemos por Galiza e por ti. Whatsapp http://bit.ly/bngwhatsapp</t>
  </si>
  <si>
    <t>http://bng.gal/</t>
  </si>
  <si>
    <t>Manuel Mir Cruañes</t>
  </si>
  <si>
    <t>CATALUÑA:LA COMISION TAMBIEN CITARA,A LA EXVICEPRESIDENTA DEL GOBIERNO,SORAYA SAENZ DE SANTAMARIA.EN LA LISTA FIGURAN ASI MISMO``ODIOZ´´(ZOIDO).7Y CATALA(LOS DOS REPROBADOS EN EL CONGRESO)TAMBIEN ESTA CITADO.EL PRESIDENTE DEL PEPE ACTUAL.PABLO CASADO.</t>
  </si>
  <si>
    <t>ParaLaLibertad</t>
  </si>
  <si>
    <t>Andaluces de Jaén  SANTIAGO GONZÁLEZ-EL MUNDO EL LÍDER de la oposición, Pablo Casado, planteó al presidente uno de los miércoles pasados, una pregunta que no debió de ser del agrado del interpelado a...</t>
  </si>
  <si>
    <t>https://ift.tt/2UfvxPT</t>
  </si>
  <si>
    <t>Don Preguntón</t>
  </si>
  <si>
    <t>Santiago Abascal: "Tengo afecto personal hacia José María Aznar". Pablo Casado ahora mismo con ataque de cuernos.</t>
  </si>
  <si>
    <t>En ocasiones... me hago preguntas.</t>
  </si>
  <si>
    <t>Cristina Seguí</t>
  </si>
  <si>
    <t>Pablo Casado busca candidatos "duros" en el PP para frenar a Vox.  vía @elmundoes</t>
  </si>
  <si>
    <t>Capitalista vs la corrección política e ideología de género en @BrujulaOndaCero @OKDiario @intereconomia @EspejoPublico @TeleMadrid cristina_segui@outlook.es</t>
  </si>
  <si>
    <t>https://okdiario.com/autor/crissegui</t>
  </si>
  <si>
    <t>Gonzalo</t>
  </si>
  <si>
    <t>https://pbs.twimg.com/media/Dto_YxOWsAA_jCY.jpg</t>
  </si>
  <si>
    <t>@ppapanol</t>
  </si>
  <si>
    <t>http://page.is/ppapanol</t>
  </si>
  <si>
    <t>ideal_jaen</t>
  </si>
  <si>
    <t>#Jaén El PSOE afirma que el alcalde no ha puesto el tranvía por instrucciones de Pablo Casado</t>
  </si>
  <si>
    <t>https://www.ideal.es/jaen/jaen/psoe-afirma-alcalde-20181205010337-ntvo.html</t>
  </si>
  <si>
    <t>Jaén</t>
  </si>
  <si>
    <t>Diario local con toda la información de Jaén y su provincia.</t>
  </si>
  <si>
    <t>http://www.ideal.es/jaen</t>
  </si>
  <si>
    <t>el azote de ls corru</t>
  </si>
  <si>
    <t>Política y Gobierno Nuevos talentos</t>
  </si>
  <si>
    <t>Juan Carlos</t>
  </si>
  <si>
    <t>Getxo, Bizkaia</t>
  </si>
  <si>
    <t>Juan Carlos Pérez Álvarez. Soy vasco, nacido en Bilbao, residente en Getxo y con mujer de Santander. Getxo hiria, Bizkaia herria, Euzkadi Aberria. Beti Jelpean!</t>
  </si>
  <si>
    <t>http://liebanizate.com/author/hanskarlperez</t>
  </si>
  <si>
    <t>David</t>
  </si>
  <si>
    <t>Pablo Casado abre la puerta a ceder consejerías de la Junta a Vox, es decir, la sede de Génova decide por Andalucía. Juanma Moreno hará lo que le digan.</t>
  </si>
  <si>
    <t>https://www.elperiodicoextremadura.com/noticias/espana/pablo-casado-abre-puerta-ceder-consejerias-junta-vox_1130427.html</t>
  </si>
  <si>
    <t>Extremadura</t>
  </si>
  <si>
    <t>Geografía y Ordenación del Territorio 🌍 Másteres en Sistemas de Información Geográfica -Teledetección y en Educación 🛰️✍️ viaja todo lo que puedas</t>
  </si>
  <si>
    <t>Rosa GPayo</t>
  </si>
  <si>
    <t>“Sólo con su desparpajo (Pablo Casado) puede llevar en brazos al hijo de Suárez mientras pacta con los hijos ideológicos de Blas Piñar”. El rock de la memoria histórica; por @manueljabois  ¿No era Adolfo Suárez enemigo público número uno de los ultras?</t>
  </si>
  <si>
    <t>https://bit.ly/2QxsjZ7</t>
  </si>
  <si>
    <t>Periodista. Ambulante y apasionada las venticuatro horas del día. La mejor noticia no es la que se da primero sino la que se da mejor, García Márquez</t>
  </si>
  <si>
    <t>Cantabria</t>
  </si>
  <si>
    <t>Lifante</t>
  </si>
  <si>
    <t>estáis enfermos... un día llueve y es culpa de Pablo Casado... ¿cuándo influyó el PP en la sentencia del TSJ de Navarra? RT @pnique: El TSJN dictamina que cinco neandertales violando a una mujer no es violencia. Mientras tanto, Pablo Casado y la escisión de ultraderecha del PP llamada Vox llaman "ideología de género" al feminismo y piden combatirlo. Nosotr@s los combatiremos a ellos.</t>
  </si>
  <si>
    <t>https://twitter.com/pnique/status/1070230466425446400
https://www.eldiario.es/norte/navarra/Tribunal-Superior-Justicia-Navarra-unanimidad_0_843065749.html</t>
  </si>
  <si>
    <t>por España sin racismo supremacista, en contra de los extremismos, sean del signo que sean🇪🇸🇪🇸, igualdad de todos los españoles</t>
  </si>
  <si>
    <t>Menudo rebote ha pillado Pablo Casado: está como una hidra de siete cabezas porque el Ku Klux Klan todavía no lo ha felicitado por su triunfo en Andalucía. #LaCafeteraPactox</t>
  </si>
  <si>
    <t>Berry Bar</t>
  </si>
  <si>
    <t>#LaCafeteraPactox Últimas declaraciones de Casado sobre el pacto del cambio en Andalucía</t>
  </si>
  <si>
    <t>https://www.mallorcadiario.com/movil/noticia/487969/ibiza/pablo-casado:-en-balears-y-en-ibiza-hay-un-gobierno-de-perdedores.html</t>
  </si>
  <si>
    <t>Hoy he escrito una tontería, da igual cuando leas esto</t>
  </si>
  <si>
    <t>Pablo Echenique</t>
  </si>
  <si>
    <t>El TSJN dictamina que cinco neandertales violando a una mujer no es violencia. Mientras tanto, Pablo Casado y la escisión de ultraderecha del PP llamada Vox llaman "ideología de género" al feminismo y piden combatirlo. Nosotr@s los combatiremos a ellos.</t>
  </si>
  <si>
    <t>https://www.eldiario.es/norte/navarra/Tribunal-Superior-Justicia-Navarra-unanimidad_0_843065749.html</t>
  </si>
  <si>
    <t>Científico del CSIC en @ahorapodemos. Buscando e intentando reconocer quién y qué, en medio del infierno, no es infierno. Para hacerlo durar, y darle espacio.</t>
  </si>
  <si>
    <t>https://www.facebook.com/pablo.echenique/</t>
  </si>
  <si>
    <t>F.Javier Camacho</t>
  </si>
  <si>
    <t>Pablo Casado se mea en la Constitución. No descarta formar gobierno con los que están en contra de media Constitución. Se imaginan que dirían si Pedro Sanchez nombrara ministro a Rufián. Patriotas no ...mas bien derecha franquista.  vía @opiniondemalaga</t>
  </si>
  <si>
    <t>Me gusta pedalear en la politica... y navegar en las raices mas que en las consecuencias. R.Organización @iuandalucia</t>
  </si>
  <si>
    <t>No tienen ninguna excusa 👉🏻 “Pablo Casado ofrece a Cs un Gobierno de coalición y presidir el Parlamento” via @larazon_es</t>
  </si>
  <si>
    <t>https://www.larazon.es/elecciones-andaluzas/el-pp-ofrecera-a-cs-un-gobierno-de-coalicion-y-presidir-el-parlamento-NO20843961</t>
  </si>
  <si>
    <t>Onda Cero</t>
  </si>
  <si>
    <t>https://ift.tt/2G0NEGc</t>
  </si>
  <si>
    <t>https://pbs.twimg.com/media/Dto18SSX4AEbEAT.jpg</t>
  </si>
  <si>
    <t>El PP tiene en el aire sus candidaturas en Madrid: Garrido y Almeida presionan ante el silencio de Casado  vía @eldiario_Madrid</t>
  </si>
  <si>
    <t>AJRS Elx</t>
  </si>
  <si>
    <t>Pues eso... El PP de Pablo Casado no descarta ofrecer consejerías de la Junta de Andalucía a la ultraderecha xenófoba</t>
  </si>
  <si>
    <t>https://elpais.com/politica/2018/12/04/actualidad/1543928771_340736.html</t>
  </si>
  <si>
    <t>https://www.publico.es/politica/pactos-andalucia-casado-no-descarta-ceder-consejerias-vox-pp-gobierne-andalucia.html</t>
  </si>
  <si>
    <t>Zurdo de pensamiento, esperando un mejor futuro... dicen que soy "cameraman" y con mucha suerte: nací justo el día de mi cumpleaños 😉</t>
  </si>
  <si>
    <t>http://ver.20m.es/qjcfd1</t>
  </si>
  <si>
    <t>https://pbs.twimg.com/media/Dto0lynW0AARZIU.jpg</t>
  </si>
  <si>
    <t>antonio jesus ruano</t>
  </si>
  <si>
    <t>publicitario,agricultor</t>
  </si>
  <si>
    <t>Miguelangel Flores</t>
  </si>
  <si>
    <t>Comparar a VOX con Podemos dice mucho de lo que se guarda el miserable Pablo Casado. #FrenarElFascismo</t>
  </si>
  <si>
    <t>Director de las compañías "Viéndolas Venir" y "La Indicada". Autor de sus obras y del libro de microrrelato "De lo que quise sin querer", de Ed. Talentura.</t>
  </si>
  <si>
    <t>http://www.eternidadesypegos.blogspot.com</t>
  </si>
  <si>
    <t>Elisa Villarrubia</t>
  </si>
  <si>
    <t>Pulgar</t>
  </si>
  <si>
    <t>Presidenta de la Junta Local del PP de Pulgar y la practicanta de Pulgar a mucha honra.</t>
  </si>
  <si>
    <t>Curro pá tí.</t>
  </si>
  <si>
    <t>Cuando Pablo Casado habla de activos y pasivos, lo único que me queda claro es que nos van a seguir dando por culo.</t>
  </si>
  <si>
    <t>Trabajador sin curro, ganas tampoco tengo. Pensando en el exilio, así se llama mi perro.</t>
  </si>
  <si>
    <t>Nina Peña</t>
  </si>
  <si>
    <t>La derecha europea, Merkel o Macron, no pacta con los fascistas. Aquí Pablo Casado les pregunta si quieren ser activos o pasivos... Ahí os lo dejo... #Fascismo #NoPasaran #EleccionesAndalucia #VOX #VOXAndalucia #FrenarElFascismo #posguerra #derecha</t>
  </si>
  <si>
    <t>http://amzn.to/2rHKJud #escritora #rosadelosvientos #lassufragistas #Cómoqueaquéhuelenlasnubes #cuentosperdidos Hablo de aquello que me preocupa.</t>
  </si>
  <si>
    <t>https://ninapenya.wordpress.com/</t>
  </si>
  <si>
    <t>Hèctor Sanjuan</t>
  </si>
  <si>
    <t>Pablo Casado busca candidatos "duros" en el PP para frenar a Vox  via @elmundoes</t>
  </si>
  <si>
    <t>Pare de Júlia i Mar. Periodista i politòleg valencià. Twitter personal que no seguix cap línia editorial. Repiular no vol dir estar d'acord. Escric a @elmundocv</t>
  </si>
  <si>
    <t>http://www.elmundo.es/social/usuarios/hector_sanjuan/</t>
  </si>
  <si>
    <t>Diego Valiño Seva</t>
  </si>
  <si>
    <t>Pablo Casado busca candidatos "duros" para frenar a Vox en las municipales:  vía @ElMundoes</t>
  </si>
  <si>
    <t>https://bit.ly/2SuPIHI</t>
  </si>
  <si>
    <t>Oviedo/Uviéu, Asturias/Asturies</t>
  </si>
  <si>
    <t>Concejal en el @AytOviedo por el @GMSOviedo | Militante de la AMSO @PSOE_Oviedo | Adscrito a @ISPSOE_Asturias | Periodista | E-mail: diegovalino@oviedo.es</t>
  </si>
  <si>
    <t>https://es.linkedin.com/in/puxapali</t>
  </si>
  <si>
    <t>Córdoba 24 horas</t>
  </si>
  <si>
    <t>Pablo Casado abre la puerta a ceder consejerías de la Junta a Vox  Moreno advierte a Cs del riesgo de que haya que repetir las elecciones. Los ultraderechas decidirán si quieren tener una actitud «activa» o «pasiva» Ir a la fuente Author: P. Santos / J. …</t>
  </si>
  <si>
    <t>https://ift.tt/2Sy0AF3</t>
  </si>
  <si>
    <t>Córdoba, España</t>
  </si>
  <si>
    <t>Toda la actualidad de Córdoba en las redes sociales</t>
  </si>
  <si>
    <t>http://www.cordoba24horas.com</t>
  </si>
  <si>
    <t>El Periódico</t>
  </si>
  <si>
    <t>Pablo Casado @PPopular abre la puerta a ceder consejerías de la Junta de Andalucía a Vox @vox_es</t>
  </si>
  <si>
    <t>http://elperiodi.co/ar0dl5</t>
  </si>
  <si>
    <t>Información, participación y conversación con El Periódico. 🗣️Si te interesa la política, síguenos en Telegram https://telegram.me/elperiodico</t>
  </si>
  <si>
    <t>http://www.elperiodico.com</t>
  </si>
  <si>
    <t>AURELIA JEREZ MEDINA</t>
  </si>
  <si>
    <t>https://www.elconfidencial.com/elecciones-andalucia/2018-12-04/elecciones-andalucia-pablo-casado-pp-vox-ciudadanos_1685222/?utm_campaign=BotoneraWebapp&amp;utm_source=twitter&amp;utm_medium=social</t>
  </si>
  <si>
    <t>AZUQUECA DE HENARES</t>
  </si>
  <si>
    <t>Presidenta de la Coordinadora Estatal de Plataformas de Dependencia (COES LAPAD) @coordinadoradep</t>
  </si>
  <si>
    <t>http://pensandoenmirincon.blogspot.es/</t>
  </si>
  <si>
    <t>fchague</t>
  </si>
  <si>
    <t>https://buff.ly/2QcHY0h</t>
  </si>
  <si>
    <t>La verdad es un elemento que permite a los profesionales de los medios de comunicación convertirse en promotores de la paz. Juan Pablo II. Comunicación digital</t>
  </si>
  <si>
    <t>JL</t>
  </si>
  <si>
    <t>Matías Vallés: Casado no da ni golpe</t>
  </si>
  <si>
    <t>https://www.laopiniondemalaga.es/opinion/2018/10/26/pablo-casado-da-golpe/1042537.html</t>
  </si>
  <si>
    <t>1997. (Intentando ser) Columnista.</t>
  </si>
  <si>
    <t>http://www.jorgeleyh.wordpress.com/</t>
  </si>
  <si>
    <t>Jorge Mateos Álvarez 🇪🇺</t>
  </si>
  <si>
    <t>"Sólo con su desparpajo [Pablo Casado] puede llevar en brazos al hijo de Suárez mientras pacta con los hijos ideológicos de Blas Piñar", esto de @manueljabois</t>
  </si>
  <si>
    <t>https://elpais.com/elpais/2018/12/04/opinion/1543936311_761813.html</t>
  </si>
  <si>
    <t>https://pbs.twimg.com/media/DtontaUXQAEmS-2.jpg</t>
  </si>
  <si>
    <t>Valencia de Don Juan, España</t>
  </si>
  <si>
    <t>Entre la pena y la nada Harry Wilbourne eligió la pena. Blog: http://lecturassalvajes.blogspot.com Telegram: http://telegram.me/news1906</t>
  </si>
  <si>
    <t>http://lecturassalvajes.blogspot.com/</t>
  </si>
  <si>
    <t>https://pbs.twimg.com/media/DtonkthWwAAGAGa.jpg</t>
  </si>
  <si>
    <t>Lamakinista</t>
  </si>
  <si>
    <t>“Pero las recientes posturas del joven presidente del PP, Pablo Casado, mezclando inmigración y delincuencia, parecen ser testigos de un punto de inflexión que, lejos de debilitar a Vox, corre el riesgo de justificar y normalizar su discurso". RT @cataladigitalok: Durísimo artículo de “Le Monde” contra Casado y Rivera: Deberán dar explicaciones a Europa si negocian con VOX</t>
  </si>
  <si>
    <t>A la derecha se la combate con inteligencia. Los insultos la reproducen a velocidad de vértigo. En @MiercolesRepub1.</t>
  </si>
  <si>
    <t>CANAL ⓩ</t>
  </si>
  <si>
    <t>https://www.20minutos.es/noticia/3508591/0/pablo-casado-40-anos-constitucion-de-todos/</t>
  </si>
  <si>
    <t>https://pbs.twimg.com/media/DtomcrgXQAAgaqE.jpg</t>
  </si>
  <si>
    <t>Canal Z Noticias. #Lifestyle #Cultura #Ciencia #Tecnología #Ocio e información que te hace diferente » Solo las cosas que importan y seguirán importando siempre</t>
  </si>
  <si>
    <t>Zibelina 🇪🇸 🇪🇺 🌎</t>
  </si>
  <si>
    <t>Los políticos corrosivos que a Pablo Casado aún le quedan por sacar del PP - ESdiario.</t>
  </si>
  <si>
    <t>https://www.esdiario.com/959761778/Los-politicos-corrosivos-que-a-Pablo-Casado-aun-le-quedan-por-sacar-del-PP.html</t>
  </si>
  <si>
    <t>Mundo, Europa, España</t>
  </si>
  <si>
    <t>Ciudadana demócrata no nacionalista interesada por la informacion mundial, defensora de la cultura humanista y lectora permanente. No sigo cuentas protegidas</t>
  </si>
  <si>
    <t>http://dlvr.it/Qss9JJ</t>
  </si>
  <si>
    <t>https://pbs.twimg.com/media/DtolWb1UwAEGrFg.jpg</t>
  </si>
  <si>
    <t>🏳️‍🌈Rubén López🏳️‍🌈</t>
  </si>
  <si>
    <t>El líder de VOX ayer en ABC alertaba de que la «ideología de género» es una de las ideologías "más perniciosas" para nuestra juventud y que es "muy peligrosa". Este señor es quien Pablo Casado está deseando darle una Consejería en Andalucía.</t>
  </si>
  <si>
    <t>https://pbs.twimg.com/media/DtokcuMWsAAmTTG.jpg</t>
  </si>
  <si>
    <t>Talavera- Madrid- Almería</t>
  </si>
  <si>
    <t>Socialdemócrata,gay,feminista,culé y talaverano. Ing.Teleco trabajo de volcanólogo.Lic.Derecho.Ejecutiva @Arcopoli,Director @ObsmadLGTB e Internacional @FELGTB</t>
  </si>
  <si>
    <t>V. 🇹🇫</t>
  </si>
  <si>
    <t>Pablo Casado va a hundir al PP. Y eso es un desastre para España.</t>
  </si>
  <si>
    <t>Políglota, europeísta, bourgeois-bohème. «C’est avec ce qui ne s’apprend pas qu’on réussit»</t>
  </si>
  <si>
    <t>https://pbs.twimg.com/media/DtokHcgW4AAqK52.jpg</t>
  </si>
  <si>
    <t>ENRIQUE SANCHEZ</t>
  </si>
  <si>
    <t>Pablo Casado 37 años. Presidente del PP, desde los 23 años en la política</t>
  </si>
  <si>
    <t>https://pbs.twimg.com/media/DtojIS-WsAIGe3c.jpg</t>
  </si>
  <si>
    <t>MADRID-ESPAÑA</t>
  </si>
  <si>
    <t>JUSTICIA &amp; ETICA PROFESIONAL</t>
  </si>
  <si>
    <t>http://enrique2311.wordpress.com</t>
  </si>
  <si>
    <t>http://dlvr.it/Qss7Ym</t>
  </si>
  <si>
    <t>https://pbs.twimg.com/media/Dtohr9kVYAAI8DK.jpg</t>
  </si>
  <si>
    <t>https://twitter.com/FSerranoCastro/status/729684736965267456</t>
  </si>
  <si>
    <t>Leia</t>
  </si>
  <si>
    <t>🤔🤔🤔Los políticos corrosivos que a Pablo Casado aún le quedan por sacar del PP - ESdiario.</t>
  </si>
  <si>
    <t>wizfun</t>
  </si>
  <si>
    <t>Los políticos corrosivos que a Pablo Casado aún le quedan por sacar del PP, por A. MARTÍN BEAUMONT  vía @flipboard</t>
  </si>
  <si>
    <t>http://flip.it/RLFLLo</t>
  </si>
  <si>
    <t>Bon vivant de la escuela balsámica.Sin colorantes ni conservantes.Sin azúcares añadidos.Simple y ligero https://flipboard.com/@wizfun/el-punto-link-0vl4n0l4y</t>
  </si>
  <si>
    <t>http://paper.li/wizfun/1315752719#</t>
  </si>
  <si>
    <t>Mateo Luna</t>
  </si>
  <si>
    <t>Sánchez, el muñeco de Pablo Iglesias!!!! Casado rechaza suprimir la inviolabilidad del Rey y Podemos reclama a Sánchez que elimine ya el blindaje  vía @elmundoes</t>
  </si>
  <si>
    <t>https://www.elmundo.es/espana/2018/12/04/5c067818fc6c8375448b45a9.html</t>
  </si>
  <si>
    <t>Lolesc</t>
  </si>
  <si>
    <t>La clase trabajadora no tiene trabajo, la clase media no tiene medios y la clase alta no tiene clase y a mi se me acabó la diplomacia y la paciencia.</t>
  </si>
  <si>
    <t>Javier Alemán Uris</t>
  </si>
  <si>
    <t>Derecho, política y comunicación 💡.</t>
  </si>
  <si>
    <t>Enrique Boto</t>
  </si>
  <si>
    <t>Pablo Casado blanquea a Vox como socio para "refundir el centroderecha"  vía @elmundoes</t>
  </si>
  <si>
    <t>https://www.elmundo.es/espana/2018/12/04/5c05a39afc6c83c0748b4763.html</t>
  </si>
  <si>
    <t>Madrid-España-Unión Europea</t>
  </si>
  <si>
    <t>El poder del ciudadano</t>
  </si>
  <si>
    <t>Javier Marcos Angulo</t>
  </si>
  <si>
    <t>https://m.eldiario.es/_323ad545</t>
  </si>
  <si>
    <t>Aprendiz de la vida, busco la verdad.</t>
  </si>
  <si>
    <t>http://javiermarcosangulo.blogspot.com.es</t>
  </si>
  <si>
    <t>https://pbs.twimg.com/media/DtoUGL2XgAAND7p.jpg</t>
  </si>
  <si>
    <t>Victor de Cea</t>
  </si>
  <si>
    <t>Periodista // Ahora en @T_interesa // Co-creador de @miradasfrontera // Aprendo en @CCEuropa</t>
  </si>
  <si>
    <t>http://www.miradasenlafrontera.com</t>
  </si>
  <si>
    <t>https://pbs.twimg.com/media/DtoSt8zXgAABiPF.jpg</t>
  </si>
  <si>
    <t>ESdiario</t>
  </si>
  <si>
    <t>La columna de ⁦@Amartinbeaumont⁩ con ⁦@pablocasado_⁩ y el ⁦@PPopular⁩ 👇👇👇</t>
  </si>
  <si>
    <t>Tras 16 años con la realidad política, social y empresarial de España, El Semanal Digital se convierte en ESdiario. Su portal de opinión sigue en @ElSemanalD.</t>
  </si>
  <si>
    <t>http://www.esdiario.com</t>
  </si>
  <si>
    <t>🍻renio🍻</t>
  </si>
  <si>
    <t>A ver señores, el PP busca miembros duros. Pablo Casado busca candidatos "duros" en el PP para frenar a Vox  vía @elmundoes</t>
  </si>
  <si>
    <t>https://pbs.twimg.com/media/DtoNAVqW4AAtVr_.jpg</t>
  </si>
  <si>
    <t>Doña Merkel 🇩🇪</t>
  </si>
  <si>
    <t>¡¡DESPERTAD GANDULES!! Venga, que a estas horas Pablo Casado ha llamado ya 15 veces al Ku Klux Klan, pidiendo explicaciones de porqué a él no le han felicitado, si sacó más votos que Abascal, y vosotros todavía en la cama.</t>
  </si>
  <si>
    <t>Sur de Europa, Nueva Alemania.</t>
  </si>
  <si>
    <t>¡¡MANOS ARRIBA, ESTO ES UN BANCO!!. (Parodia).</t>
  </si>
  <si>
    <t>NotiPicante!</t>
  </si>
  <si>
    <t>https://pbs.twimg.com/media/DtoB0IpX4AI9VRc.jpg</t>
  </si>
  <si>
    <t>Noticias diarias con un toque de picante</t>
  </si>
  <si>
    <t>MFAEBUY</t>
  </si>
  <si>
    <t>Pablo Casado, Alberto Rivera y el Santiago también adoptan perros, gatos, y ratas de laboratorio. :D</t>
  </si>
  <si>
    <t>https://www.facebook.com/MFAEBSA/posts/10209963365999048</t>
  </si>
  <si>
    <t>Propietario de la Patente Hidroeléctrica Marítima Nº de Acta 34.898 Nº Patente E02B3/00 Nací en País Vasco (España) Me casé en Uruguay con uruguaya Laura Levy</t>
  </si>
  <si>
    <t>http://tu-espacio.com</t>
  </si>
  <si>
    <t>Cupcake's News</t>
  </si>
  <si>
    <t>https://pbs.twimg.com/media/Dtn1XizWkAUQNTz.jpg</t>
  </si>
  <si>
    <t>Surtimos tu línea de tiempo con información que vale la pena leer, contenido útil e interesante.</t>
  </si>
  <si>
    <t>https://pbs.twimg.com/media/Dtnz1I8X4AAxe01.jpg</t>
  </si>
  <si>
    <t>https://pbs.twimg.com/media/DtnuxVmWsAAU-zI.jpg</t>
  </si>
  <si>
    <t>Del Cojón el Brivón</t>
  </si>
  <si>
    <t>Puede buscar lo que quiera, yo voy a votar a @vox_es !! Vox ya es imparable! Pablo Casado busca candidatos "duros" en el PP para frenar a Vox  vía @elmundoes</t>
  </si>
  <si>
    <t>Cereceda, Guadalajara</t>
  </si>
  <si>
    <t>🇪🇸Oscuras noches son las que esperan, oscuros días llenos de pesadillas🇪🇸 La esperanza es @vox_es 💚</t>
  </si>
  <si>
    <t>Vespertina</t>
  </si>
  <si>
    <t>Pablo Casado se presenta en rueda de prensa con su nuevo uniforme  vía @eljueves</t>
  </si>
  <si>
    <t>https://www.eljueves.es/news/pablo-casado-se-presenta-en-rueda-de-prensa-con-su-nuevo-uniforme_2639</t>
  </si>
  <si>
    <t>Nunca dudes de que un grupo de ciudadanos, conscientes y comprometidos, pueden cambiar el mundo, de hecho, siempre ha sido así</t>
  </si>
  <si>
    <t>NEWS</t>
  </si>
  <si>
    <t>Pablo Casado busca candidatos “duros” en el PP para frenar a Vox</t>
  </si>
  <si>
    <t>https://thenewsatyourfingertips.wordpress.com/2018/12/05/pablo-casado-busca-candidatos-duros-en-el-pp-para-frenar-a-vox/</t>
  </si>
  <si>
    <t>http://entretenimientobit.com/interes-general/pablo-casado-busca-candidatos-duros-en-el-pp-para-frenar-a-vox/?utm_campaign=twitter&amp;utm_medium=twitter&amp;utm_source=twitter</t>
  </si>
  <si>
    <t>VOX Gijón</t>
  </si>
  <si>
    <t>Santiago Abascal, a Pablo Casado: la recuperación de las competencias en Educación es gracias a VOX</t>
  </si>
  <si>
    <t>https://www.libertaddigital.com/espana/politica/2018-11-27/santi-abascal-a-casado-la-recuperacion-de-las-competencias-en-educacion-es-gracias-a-vox-1276628973/</t>
  </si>
  <si>
    <t>Gijón, España</t>
  </si>
  <si>
    <t>Cuenta VOX Gijón (Asturias) 🇪🇸 Calle Saavedra 7, entresuelo P-9 (Gijón) - #VOXAvanza #SeguimosCreciendo</t>
  </si>
  <si>
    <t>https://www.voxespana.es/</t>
  </si>
  <si>
    <t>https://ift.tt/2ri3fXG</t>
  </si>
  <si>
    <t>https://pbs.twimg.com/media/DtnZjGtW4AAMYct.jpg</t>
  </si>
  <si>
    <t>https://pbs.twimg.com/media/DtnV1LZWoAE1FO1.jpg</t>
  </si>
  <si>
    <t>Los retuiters</t>
  </si>
  <si>
    <t>(@gabrielrufian) : Lo de la ultraderecha en España es culpa de Catalunya. Porque Aznar, Losantos, Sánchez Dragó, C’s, Herrera, OkDiario, Rosa Díez, Javier Negre, La Razón, Albert Rivera, Pablo Casado, Fernández Díaz, Trillo, el ABC y El Mundo eran de izquierdas hasta antes de aye</t>
  </si>
  <si>
    <t>EP | España</t>
  </si>
  <si>
    <t>►► ¡Contundente! Pablo Casado defiende la inviolabilidad del Rey</t>
  </si>
  <si>
    <t>https://pbs.twimg.com/media/DtnOOO5VYAELfpK.jpg</t>
  </si>
  <si>
    <t>Alicante</t>
  </si>
  <si>
    <t>Noticias de España y el Mundo en Español. Cadena de Noticias @EP_Mundo</t>
  </si>
  <si>
    <t>http://epmundo.com/espana</t>
  </si>
  <si>
    <t>❤🧡💛 HETERITAS IACENS 💚💙💜</t>
  </si>
  <si>
    <t>#40ConstitucionA3N Pablo Casado podrías callarse para siempre y tampoco pasaba nada.</t>
  </si>
  <si>
    <t>Trencarem la gàbia. ✊♀</t>
  </si>
  <si>
    <t>Según los taurinos, liberticida sin alma. A veces canto pero te adelanto que no me vas a escuchar. Zorri not sorry. #MurciaLibreDeMuros. Activista en @mujomur.</t>
  </si>
  <si>
    <t>https://nadienoscortalasalas.wordpress.com</t>
  </si>
  <si>
    <t>Edgar Albert</t>
  </si>
  <si>
    <t>Pablo Casado diciendo que la Constitución no necesita un lavado de cara escudandose en Cataluña... bien, bien... no mezclemos churras con merinas por favor, que si, a la constitución le hace falta un lavado de cara importante #40ConstituciónA3N</t>
  </si>
  <si>
    <t>Burgos</t>
  </si>
  <si>
    <t>Twitter oficial de un mallorquin exiliado en Burgos / @flaneswalkers Member</t>
  </si>
  <si>
    <t>Tractor ioputa parlanchín.</t>
  </si>
  <si>
    <t>Soy yo solo o Pablo Casado cada vez se parece más a Albert Rivera?</t>
  </si>
  <si>
    <t>En el coraçao de auronplay</t>
  </si>
  <si>
    <t>Esencia posible. Absoluto. Ecléctico. A mi dame café, que de lo demás no me acuerdo.</t>
  </si>
  <si>
    <t>https://curiouscat.me/Fennyx101</t>
  </si>
  <si>
    <t>(((SAUL)))</t>
  </si>
  <si>
    <t>Pablo Casado defiende a VOX comparándolo con PODEMOS</t>
  </si>
  <si>
    <t>https://www.youtube.com/watch?v=9Hg8oSA_BmY&amp;feature=share</t>
  </si>
  <si>
    <t>Vitacura, Chile</t>
  </si>
  <si>
    <t># We Remember</t>
  </si>
  <si>
    <t>Progrestona🎗️🧕 ☭</t>
  </si>
  <si>
    <t>Pablo Casado: "Sánchez debe convocar inmediatamente elecciones generales</t>
  </si>
  <si>
    <t>http://youtu.be/NwaZzBTz_lM?a</t>
  </si>
  <si>
    <t>Cule Podemita, Borde Progre Comunista. De la Repubica Separatista, la culpa es de Franco, Que te Calles Facha Islamofobobo. Feminazi con Burka🧕 a Tiempo Parcial</t>
  </si>
  <si>
    <t>https://www.youtube.com/channel/UCl-_iYBzcBZvjEoHp81MlUg</t>
  </si>
  <si>
    <t>https://pbs.twimg.com/media/DtnIZx9V4AEGrZK.jpg</t>
  </si>
  <si>
    <t>pordió</t>
  </si>
  <si>
    <t>Pablo Casado cenando con los 12 apóstoles de VOX</t>
  </si>
  <si>
    <t>https://pbs.twimg.com/media/DtnGSHCWoAAfMW7.jpg</t>
  </si>
  <si>
    <t>Mataró, España</t>
  </si>
  <si>
    <t>miedo me da robar una gallina pa comer</t>
  </si>
  <si>
    <t>LA SOPA DIGITAL</t>
  </si>
  <si>
    <t>Ana</t>
  </si>
  <si>
    <t>https://pbs.twimg.com/media/DtnGE_AXQAEWY2Y.jpg</t>
  </si>
  <si>
    <t>Reseñamos información interesante, acontecimientos de último minuto y una pizca de noticias con gran sabor.</t>
  </si>
  <si>
    <t>Amadeu Clavé</t>
  </si>
  <si>
    <t>Marchando otra de postureo! No había roto relaciones institucionales Pedro Sánchez con Pablo Casado?. La vieja guardia nunca ofrece fisuras.</t>
  </si>
  <si>
    <t>Periodista de investigación política y social. Especialista en economía. Director de medios de prensa escrita y programas de radio desde 1973.</t>
  </si>
  <si>
    <t>FSiM</t>
  </si>
  <si>
    <t>Pablo Casado no descarta negociar con Vox "un acuerdo de legislatura"  vía @elmundoes</t>
  </si>
  <si>
    <t>https://www.elmundo.es/espana/2018/12/04/5c067532fc6c83df478b45a2.html</t>
  </si>
  <si>
    <t>Se disparan los rumores de todo tipo: Pablo Casado acompaña a Ángel Garrido en el homenaje a la Constitución Española en Madrid pero mantiene la incógnita de una candidatura que se vuelve a retrasar</t>
  </si>
  <si>
    <t>https://elcorreodepozuelo.com/2018/12/05/se-disparan-los-rumores-de-todo-tipo-pablo-casado-acompana-a-angel-garrido-en-el-homenaje-a-la-constitucion-espanola-en-madrid-pero-mantiene-la-incognita-de-una-candidatura-que-se-vuelve-a-retrasar/</t>
  </si>
  <si>
    <t>https://pbs.twimg.com/media/DtnA8JvU8AYTLvt.jpg</t>
  </si>
  <si>
    <t>Ainara Dais</t>
  </si>
  <si>
    <t>El orgulloso mensaje de Anne Igartiburu a su marido, Pablo Heras-Casado</t>
  </si>
  <si>
    <t>http://bit.ly/2BPnSQW</t>
  </si>
  <si>
    <t>https://pbs.twimg.com/media/Dtm-H0wWsAEN3Y6.jpg</t>
  </si>
  <si>
    <t>Pto. La Cruz</t>
  </si>
  <si>
    <t>Me gustan los pequeños detalles que me hacen sentir grande</t>
  </si>
  <si>
    <t>Revista ¡HOLA!</t>
  </si>
  <si>
    <t>Las novedades sobre las estrellas de cine y música, tendencias de moda, belleza, recetas de cocina y las Casas Reales en el portal femenino líder en Internet.</t>
  </si>
  <si>
    <t>http://www.hola.com/</t>
  </si>
  <si>
    <t>Pablo Casado y la estupidez intelectual  vía @nuevatribuna</t>
  </si>
  <si>
    <t>https://www.nuevatribuna.es/opinion/edmundo-fayanas-escuer/pablo-casado-estupidez-intelectual/20181017182455156619.html</t>
  </si>
  <si>
    <t>En contra de sectarismos y etiquetas excluyentes. A favor de los derechos humanos y la democracia como lo más necesario.</t>
  </si>
  <si>
    <t>http://www.flickr.com/photos/101024512@N07/</t>
  </si>
  <si>
    <t>Javier Aroca Alonso</t>
  </si>
  <si>
    <t>Podría darse el caso que Pablo Casado y Albert Rivera hablaran francés RT @lemondefr: Editorial | « L’alternance politique en Andalousie ne doit pas passer par la banalisation de l’extrême droite. Moins encore par une forme d’adhésion à son programme »</t>
  </si>
  <si>
    <t>https://twitter.com/lemondefr/status/1069935890322112513
https://lemde.fr/2Ud2oEZ</t>
  </si>
  <si>
    <t>Sevilla/Andalusía/La Tierra</t>
  </si>
  <si>
    <t>Me licencié en Derecho,Antropología y Árabe. Republicano y federalista. Opino en @Hora25 , @CanalSur y @DebatAlRojoVivo. Escribo en @eldiarioes y @elperiodico</t>
  </si>
  <si>
    <t>Aloap Onerom</t>
  </si>
  <si>
    <t>Pablo Casado no descarta ceder consejerías a Vox en un Gobierno de Juanma Moreno  vía @europa_sur</t>
  </si>
  <si>
    <t>https://www.europasur.es/_4ddd9e2a</t>
  </si>
  <si>
    <t>Tarifa, España</t>
  </si>
  <si>
    <t>Alguien que no soporta la injusticia .Que esta al lado de la verdad y la honradez y las personas con gran humanidad. aloap1999@hotmail.es</t>
  </si>
  <si>
    <t>Política de otros tiempos. RT @NBCNews: WATCH: Former Sen. Bob Dole is helped out of his wheelchair to salute the casket of George H.W. Bush in the U.S. Capitol.</t>
  </si>
  <si>
    <t>https://twitter.com/NBCNews/status/1070019389473329152</t>
  </si>
  <si>
    <t>https://pbs.twimg.com/media/Dtl49YwWwAAq9BU.jpg</t>
  </si>
  <si>
    <t>El líder del PSOE atribuye el éxito de Vox a la "debilidad" de Pablo Casado y Albert Rivera, pide una "reflexión" a Susana por su derrota y confirma que...</t>
  </si>
  <si>
    <t>https://www.esdiario.com/300249333/Sanchez-da-lecciones-al-PP-y-Cs-sobre-socios-indeseables-en-el-colmo-del-descaro.html</t>
  </si>
  <si>
    <t>https://pbs.twimg.com/media/Dtm5hbLWwAAboBk.jpg</t>
  </si>
  <si>
    <t>Ganemos Córdoba</t>
  </si>
  <si>
    <t>Lo más nauseabundo del Partido Popular está aún por llegar. Asi es el nivel de ultraderechización de Pablo Casado. #SeLesEstáYendoDeLasManos las ansias de poder RT @publico_es: Casado no descarta ofrecer consejerías a Vox y Ciudadanos en Andalucía. El líder del PP insiste en que "lo único in…</t>
  </si>
  <si>
    <t>https://twitter.com/publico_es/status/1070026525200633856?s=19
https://www.pscp.tv/w/btbC9jFkclFlWlhscWVSS2J8MVlxS0R5YWdlUXpHVoftuTUd7_45tQ0cJ3v8B51RWU9T42-LtK7UYQ47pg0V</t>
  </si>
  <si>
    <t>Asamblea Ciudadana. Ha llegado el momento de que la gran mayoría ciudadana Ganemos Córdoba.</t>
  </si>
  <si>
    <t>http://ganemoscordoba.org</t>
  </si>
  <si>
    <t>Tremendo! @sanchezcastejon @Pablo_Iglesias_ El duro editorial de 'Le Monde' que no gustará ni a Casado ni a Rivera: "Es peligroso"</t>
  </si>
  <si>
    <t>http://a.msn.com/01/es-es/BBQtLvD?ocid=st</t>
  </si>
  <si>
    <t>VOX ese vínculo tan democrático entre Pablo Casado y el Ku Klux Klan.</t>
  </si>
  <si>
    <t>https://pbs.twimg.com/media/DtmuARbXcAEm_84.jpg</t>
  </si>
  <si>
    <t>El diario francés Le Monde advierte a C's y carga contra el presidente del PP Pablo Casado por normalizar el discurso de la extrema derecha. Los principales líderes politicos de Europa rechazan alianzas como la que busca C's-PP con VOX.</t>
  </si>
  <si>
    <t>Ћõkõ-w⛩</t>
  </si>
  <si>
    <t>Que FACHITA eres segun tu mes de nacimiento: Ene: tipical cuñadus Feb: taurinx Mar: Santi Abascal Abril: jornalerx que vota PP Mayo: vota C's Jun: J.M. Aznar Jul: falangista Ago: viste "españolo" Sep: Alvaro Ojeda Oct: franquista Nov: vota a vox Dic: Pablo casado</t>
  </si>
  <si>
    <t>Hola, Kenya</t>
  </si>
  <si>
    <t>Iyo majare!Maker3D/Fotógrafo/diseñador 3Dnoob/ trabajo entre vicios y viciosos, rly. ya no se que mas poner aquí.</t>
  </si>
  <si>
    <t>http://weirdorconfusing.com/</t>
  </si>
  <si>
    <t>Malagaes</t>
  </si>
  <si>
    <t>El presidente del PP, Pablo Casado, no descarta negociar con Ciudadanos y Vox un pacto de Gobierno en Andalucía que incluya un reparto de consejerías para ambos partidos. Los populares priorizan la expulsión del...</t>
  </si>
  <si>
    <t>https://www.facebook.com/298445994230/posts/10156799988474231/</t>
  </si>
  <si>
    <t>Malaga, Andalucia, España</t>
  </si>
  <si>
    <t>Desde Malagaes buscamos convertirnos en verdaderos socios tecnológicos de aquellos que promueven la iniciativa individual y la creatividad.</t>
  </si>
  <si>
    <t>http://www.malagaes.com</t>
  </si>
  <si>
    <t>el sinvergüenza y falsificador Pablo Casado, que se libró de estar imputado por ser aforado, dice que está a favor de la inviolabilidad del Rey porque no es el problema de España. Y sin ponerse colorado.</t>
  </si>
  <si>
    <t>francisco alcaraz</t>
  </si>
  <si>
    <t>Eso es lo que no debe cegarle y ver la conveniencia de negociar todo lo que sea negociable, porque ya sabe lo que piensa Pablo Casado, la presidencia es innegociable y ya sabemos lo que hizo Marín en la Junta. NADA RT @AndresBlancoRo3: @falcarazfer Los excesos se pagan y de repetir las elecciones, otro gallo cantará.</t>
  </si>
  <si>
    <t>https://twitter.com/AndresBlancoRo3/status/1070054835431632896</t>
  </si>
  <si>
    <t>INTENDENTE MERCANTIL, SIN DISCIPLINA DE PARTIDO,VIAJERO,NATURAL DE JOILANDIA , MASTER EN DERECHO TRIBUTARIO Y ASESORIA FISCAL</t>
  </si>
  <si>
    <t>#Política: El presidente del PP ha abierto la puerta a negociar con Vox para confeccionar una alternativa de gobierno en la Junta de #Andalucía  vía @mundiario</t>
  </si>
  <si>
    <t>https://www.mundiario.com/articulo/politica/pablo-casado-abre-puerta-negociar-abiertamente-vox/20181204205718139787.html</t>
  </si>
  <si>
    <t>#ÚltimaHora Durísimo articulo en Le Monde contra Falangito y Pablo Casado "Si pactan alegremente con VOX tendrán que dar explicaciones en Europa" En España tienen pregoneros pero en Europa se van a cagar</t>
  </si>
  <si>
    <t>A ver como le explican Pablo Casado y Albert Rivera a sus hijos que van a compartir gobierno con los fascistas herederos de quienes incineraban judíos en hornos o llenaban cunetas de republicanos españoles. #elintermedio</t>
  </si>
  <si>
    <t>Sergio</t>
  </si>
  <si>
    <t>Pedro Sánchez como futurólogo no tiene precio. En este video avisa a Pablo Casado de que el resultado de las elecciones de Andalucía no le iba a gustar.</t>
  </si>
  <si>
    <t>pic.twitter.com/LDxywi6Zcl</t>
  </si>
  <si>
    <t>Reino de España 🇪🇸</t>
  </si>
  <si>
    <t>Conservador, liberal y monárquico.</t>
  </si>
  <si>
    <t>NotiAdictos</t>
  </si>
  <si>
    <t>https://pbs.twimg.com/media/Dtmg21XUwAARgMU.jpg</t>
  </si>
  <si>
    <t>Adictos a la información que realmente merece tu atención.</t>
  </si>
  <si>
    <t>Lamujerdedios</t>
  </si>
  <si>
    <t>EN TODA LA HISTORIA DE LA IGLESIA CATOLICA LA MAYORIA DE LOS PAPAS Y SACERDOTES HAN SIDO VIOLADORES, HOMSEXUALES, PEDOFILOS; PERO JUSTAMENTE JUAN PABLO 2DO ERA UN HOMBRE DE DIOS, CASADO SECRETAMENTE TUBO HIJOS Y UNO DE ELLOS ES UNA FIGURA PUBLICA MUNDIAL,</t>
  </si>
  <si>
    <t>https://twitter.com/publico_es/status/1069947932093308933
https://www.publico.es/politica/pactos-andalucia-casado-no-descarta-ceder-consejerias-vox-pp-gobierne-andalucia.html?utm_source=twitter&amp;utm_medium=social&amp;utm_campaign=publico</t>
  </si>
  <si>
    <t>Lo peor de todo, que también, no es el ascenso del fascista VOX, sino cómo lo defiende continuamente Pablo Casado, que se supone que no lo es. #FrenarElFascismo</t>
  </si>
  <si>
    <t>LINCE</t>
  </si>
  <si>
    <t>IZQUIERDA FARISEA: El límite de " los pactos es la CONSTITUCIÓN ", como señaló ayer Pablo Casado, límite que el psoe rompió con una moción de censura apoyada por GOLPISTAS Y PROETARRAS. Los portavoces del psoe y podemos se presentaron ante ls medios d comunicación con un mensaje</t>
  </si>
  <si>
    <t>Tori aKa Übermensch</t>
  </si>
  <si>
    <t>Para Pablo Casado Podemos es extrema izquierda, pero no hay problema en pactar con VOX, que todos sabemos que es centro. Menudo hijo de puta.</t>
  </si>
  <si>
    <t>Arroyo de San Servan. Badajoz</t>
  </si>
  <si>
    <t>Estudiante de fisica en la uex y residente de 200 de la RUHC. Toda buena obra tiene su castigo, el mundo es una selva.</t>
  </si>
  <si>
    <t>Crónicas de Terminus</t>
  </si>
  <si>
    <t>Pablo Casado y #VOX son la misma cosa, se van por el WC cuando terminas #FrenarElFascismo</t>
  </si>
  <si>
    <t>Ayer salí de fiesta con Albert Rivera y hoy me hago un Twitter</t>
  </si>
  <si>
    <t>Pablo Casado exige elecciones a Pedro Sánchez porque su Gobierno Frankenstein de perdedores es insostenible, mientras se prepara para liderar en Andalucía un Gobierno Frankenstein de perdedores. #elintermedio</t>
  </si>
  <si>
    <t>Vicent Vercher</t>
  </si>
  <si>
    <t>Vine al mundo un 4 de octubre de 1950 y continuo comprometido en cuantas cuestiones se presentan para hacer de este mundo un lugar mas habitable.</t>
  </si>
  <si>
    <t>http://vicentvercher.wordpress.com</t>
  </si>
  <si>
    <t xml:space="preserve">Maria Dolores </t>
  </si>
  <si>
    <t>Pablo Casado no descarta negociar con Vox "un acuerdo de legislatura"</t>
  </si>
  <si>
    <t>http://www.elmundo.es/espana/2018/12/04/5c067532fc6c83df478b45a2.html</t>
  </si>
  <si>
    <t>Pedro Sánchez @sanchezcastejon: "Tras las elecciones vi a Pablo Casado @pablocasado_ celebrar. Imagino que no celebraba los resultados del PP, sino los de Vox" 🎙 @Albert_Rivera tendría que escuchar más a Valls @manuelvalls hablar de @vox_es #SánchezT5</t>
  </si>
  <si>
    <t>JoseL. Bejarano</t>
  </si>
  <si>
    <t>La Ultraderecha siempre ha existido en España, lo que pasa es que antes estaba en en PP y ahora por la falta de liderazgo que hay en este partido han buscado otro. ¿Qué celebraba el día 2 Pablo Casado, el auge de Vox? #SanchezT5 #GobiernoDeLaDignidad</t>
  </si>
  <si>
    <t>https://pbs.twimg.com/media/DtmYb2cX4AACTsP.jpg</t>
  </si>
  <si>
    <t>Socialista, padre, compañero, laico y republicano. Licenciado en Historia por la Universidad de Sevilla.</t>
  </si>
  <si>
    <t>Gabriel Rufián</t>
  </si>
  <si>
    <t>https://m.eldiario.es/rastreador/Klux-Klan-Vox-Reconquista-Andalucia_6_842775724.html</t>
  </si>
  <si>
    <t>Uno más. Diputado de @Esquerra_ERC en el Congreso. Para todos todo, para nosotros nada. Instagram: http://goo.gl/Ns6F60</t>
  </si>
  <si>
    <t>http://www.gabrielrufian.cat</t>
  </si>
  <si>
    <t>Kim Junq-ueras</t>
  </si>
  <si>
    <t>Pablo Casado dice que VOX tiene que decidir si quiere un papel activo o pasivo en la investidura y Abascal le contesta que si empezamos con mariconadas vamos mal</t>
  </si>
  <si>
    <t>North Katalonia</t>
  </si>
  <si>
    <t>Líder supremo de la República Democrática Popular Catalana cuando la declaremos. De momento calentando en la banda. Reeducando botiflers since 1969.</t>
  </si>
  <si>
    <t>http://es.favstar.fm/users/norcatalan</t>
  </si>
  <si>
    <t>La ultraderecha en España siempre ha existido, el problema es que tenemos un liderazgo muy débil en el PP y las personas que se han posicionado siempre en la extrema derecha han encontrado en Abascal un referente que no encuentran en Pablo Casado" #SánchezT5</t>
  </si>
  <si>
    <t>https://pbs.twimg.com/media/DtmX2nNXgAI9c9x.jpg</t>
  </si>
  <si>
    <t>La agencia de noticias privada líder en España | Síguenos también en Facebook: http://www.facebook.com/europapress.es e Instagram: https://www.instagram.com/europapress/</t>
  </si>
  <si>
    <t>http://www.europapress.es</t>
  </si>
  <si>
    <t>Francisco R. Figueroa</t>
  </si>
  <si>
    <t>La ultraderecha de Vox es producto de la debilidad del liderazgo en el PP de Pablo Casado, según Pedro Sánchez.</t>
  </si>
  <si>
    <t>Periodista🇪🇸Corresponsal extranjero durante 25 años ✍️En Agencia Efe de 1974 a 2014, con evolución de meritorio a director Internaciona🕸La verdad cruda.</t>
  </si>
  <si>
    <t>de acuerdo con Pedro Sanchez ...q celebro pablo Casado el domingo ...el exito de VOX porq el triunfo""de PP No .....</t>
  </si>
  <si>
    <t>ClaseBaja</t>
  </si>
  <si>
    <t>Pablo casado empieza a escribir sus memorias....</t>
  </si>
  <si>
    <t>https://pbs.twimg.com/media/DtmWjS8XcAUt3tJ.jpg</t>
  </si>
  <si>
    <t>URSS</t>
  </si>
  <si>
    <t>Pobre comunista, rico en ideales. Discuto con cualquiera, mientras no insulte.</t>
  </si>
  <si>
    <t>Silvia Sanz</t>
  </si>
  <si>
    <t>(Es tan sinvergüenza este okupa) Sanchez en Telecinco: "Pablo Casado celebró el triunfo de VOX".</t>
  </si>
  <si>
    <t>Periodista. Licenciada en Ciencias de la Información. Editora de contenidos.</t>
  </si>
  <si>
    <t>Pedro Sánchez responde en Tele5 que vio a Pablo Casado celebrando el buen resultado de Vox en las elecciones andaluzas.</t>
  </si>
  <si>
    <t>"Pablo Casado no celebró los resultados electorales del PP, sino los de VOX" #SanchezT5</t>
  </si>
  <si>
    <t>Mota del Cuervo, España</t>
  </si>
  <si>
    <t>Enseño Literatura. Noventayochista en el siglo XXI</t>
  </si>
  <si>
    <t>http://sergiocano.wordpress.com/</t>
  </si>
  <si>
    <t>Manuel Núñez</t>
  </si>
  <si>
    <t>¡¡¡ SOS !!! J.M.Moreno y Pablo Casado, quieren darles algunas consejerías de la Junta de Andalucía a Box. ¿ Seguimos en silencio ?</t>
  </si>
  <si>
    <t>Querer a mi mujer, ayudar a mis hijos y cuidar de mis nietos</t>
  </si>
  <si>
    <t>Pedro Sánchez: "Tras las elecciones vi a Pablo Casado celebrar. Imagino que no celebraba los resultados del PP, sino los de Vox" #SanchezT5</t>
  </si>
  <si>
    <t>https://www.huffingtonpost.es/2018/12/04/pedro-sanchez-entrevista-telecinco-pedro-piqueras-tras-elecciones-andaluzas_a_23608490/</t>
  </si>
  <si>
    <t>MOLI</t>
  </si>
  <si>
    <t>¿Pero no era que PAblo Casado no habla de otros partidos porque el NO es analista político? RT @protestona1: Igual para #FrenarElFascismo vamos a tener que ir un poquito más atrás de lo que pensábamos 😉😉</t>
  </si>
  <si>
    <t>https://twitter.com/protestona1/status/1070043010279313409</t>
  </si>
  <si>
    <t>https://pbs.twimg.com/media/DtmOcTiWkAErKN9.jpg</t>
  </si>
  <si>
    <t>bueu/pontevedra</t>
  </si>
  <si>
    <t>Tantos años después y aún no reconozco a la persona que me devuelve la mirada en el espejo.</t>
  </si>
  <si>
    <t>Pablo Casado y Albert Rivera cambian los argumentos después del 2-D  vía @mundiario</t>
  </si>
  <si>
    <t>https://www.mundiario.com/articulo/politica/pablo-casado-albert-rivera-cambian-argumentos-despues-2-d/20181204002953139671.html</t>
  </si>
  <si>
    <t>Mariana Pineda</t>
  </si>
  <si>
    <t>Pablo Casado no descarta ceder consejerías a Vox en un Gobierno de Juanma Moreno  vía @granadahoy</t>
  </si>
  <si>
    <t>Madrid. España</t>
  </si>
  <si>
    <t>https://www.granadahoy.com/_4ddd9e2a</t>
  </si>
  <si>
    <t>De izquierdas andaluza y catalana por conviccion.Intento ser justa !No siempre lo consigo! Viviendo otra vida!!!</t>
  </si>
  <si>
    <t>Joan Ortiz i Serra</t>
  </si>
  <si>
    <t>Va, les voy a contar algo que ni siquiera se les habría pasado por la cabeza: Pablo Casado está dispuesto a pactar con Vox para gobernar en Andalucía. ¿Qué? ¿Cómo se han quedado?</t>
  </si>
  <si>
    <t>Colaborador de teleSUR desde Barcelona, España.</t>
  </si>
  <si>
    <t>Es el problema de la manta corta: si te tapas la cabeza dejas al descubierto los pies, y al revés. A...</t>
  </si>
  <si>
    <t>http://copiajuridica.es/2018/12/04/los-politicos-corrosivos-que-a-pablo-casado-aun-le-quedan-por-sacar-del-pp</t>
  </si>
  <si>
    <t>Pablo Casado no descarta ceder consejerías a Vox en un Gobierno de Juanma Moreno  vía @diariocadiz</t>
  </si>
  <si>
    <t>Hogwarts</t>
  </si>
  <si>
    <t>https://www.diariodecadiz.es/_4ddd9e2a</t>
  </si>
  <si>
    <t>bustixaniego</t>
  </si>
  <si>
    <t>Desde mi punto de vista tiene más que ver con lo blando que ha sido el pp (sí, blando para ellos) echando atrás la ley del aborto de Gallardón o aceptando el matrimonio gay. La parte dura del pp estaba desencantada y Pablo casado ha sido una maniobra para recuperarlos</t>
  </si>
  <si>
    <t>totaniel</t>
  </si>
  <si>
    <t>Probador de hamacas, camas y camastros del noroeste.</t>
  </si>
  <si>
    <t>Pablo Casado no descarta negociar con Vox "un acuerdo de legislatura", y Abascal asegura que no quiere cargos en Andalucía, y rebaja sus liquidaciób de las autonomías a que Sanidad y Educación sean de competencia estatal.</t>
  </si>
  <si>
    <t>Español del País Vasco, viviendo en Madrid, monárquico y liberal.</t>
  </si>
  <si>
    <t>hadoque</t>
  </si>
  <si>
    <t>Pablo Casado, el día que explicaron la coherencia y la vergüenza faltó a clase...también</t>
  </si>
  <si>
    <t>Siempre hay circunstancias que reestructuran el timing. Alphonso</t>
  </si>
  <si>
    <t>Pita #40añosBastan</t>
  </si>
  <si>
    <t>La propuesta de Pablo Casado de gobernar con consejeros de VOX soluciona el debate de si Franco debe ir a La Almudena: Franco a la Macarena con Queipo de Llano :-) llevado en peregrinación desde el Valle de los Caidos por el Ku Kux Klan :-)</t>
  </si>
  <si>
    <t>José Manuel Luque Gálvez Trabajando en @participativaya , recuperando memoria en @ladesbanda y enamorado de @angelesmbueno</t>
  </si>
  <si>
    <t>Bardamu</t>
  </si>
  <si>
    <t>Vaya, creo que he dado con el libro con el que estudió Historia Pablo Casado... Yo soy español (1943), de Agustín Serrano de Haro... Por cierto, Albert Rivera no debería olvidar que para un fascista los liberales son algo muy parecido a los republicanos...</t>
  </si>
  <si>
    <t>https://pbs.twimg.com/media/DtmM8LLW4AEA318.jpg</t>
  </si>
  <si>
    <t>En minoria absoluta.......Sé q no sóc posseïdor de la veritat absoluta (i q tu tampoc)......anarcopodemita, perquè sóc l'amo de les meues pròpies contradiccions</t>
  </si>
  <si>
    <t>Scherzo</t>
  </si>
  <si>
    <t>Pablo Heras-Casado, "Caballero de la Orden de las Artes y las Letras"</t>
  </si>
  <si>
    <t>http://www.scherzo.es/content/pablo-heras-casado-caballero-de-la-orden-de-las-artes-y-las-letras</t>
  </si>
  <si>
    <t>https://pbs.twimg.com/media/DtkxSmtX4AAs3aG.jpg</t>
  </si>
  <si>
    <t>Revista de música clásica. Fundación Scherzo, Ciclo de Grandes Intérpretes. También en http://facebook.com/Scherzo.es</t>
  </si>
  <si>
    <t>http://www.scherzo.es</t>
  </si>
  <si>
    <t>Lúa29</t>
  </si>
  <si>
    <t>Si algo bueno va a tener la irrupción de Vox, es ver la verdadera esencia de los líderes. Pablo Iglesias no tardó en dejarlo claro reclamando en la calle lo perdido en las urnas. Pablo Casado dice que aún no se conoce el programa de Vox, claro por eso no los “etiqueta!”... ¡ja!</t>
  </si>
  <si>
    <t>Zamora</t>
  </si>
  <si>
    <t>Una injusticia me trajo hasta aquí...</t>
  </si>
  <si>
    <t>María Carmen Martínez Meléndez</t>
  </si>
  <si>
    <t>STOP ISLAMOFOBIA</t>
  </si>
  <si>
    <t>Pablo Casado: "Vamos a hacer en Andalucía lo que hicimos en España"</t>
  </si>
  <si>
    <t>http://cadenaser.com/emisora/2018/11/30/radio_cordoba/1543603194_695608.html?ssm=fb</t>
  </si>
  <si>
    <t>Esperanza Escribano</t>
  </si>
  <si>
    <t>Hacerle la campaña al enemigo... ¿Cómo van Albert Rivera y Pablo Casado, con este apoyo, a pactar con la extrema derecha de Vox? RT @DrDavidDuke: 🔴🗳️ VOX triumphs in Andalusia! 12 seats and the end of the socialist regime 🇪🇸 #EspañaViva makes it history and shows that change is possible. The Reconquista begins in the Andalusian lands and will be extended in the rest of Spain 📣 #AndalucíaPorEspaña</t>
  </si>
  <si>
    <t>https://twitter.com/DrDavidDuke/status/1069370522000130049
https://twitter.com/voxnoticias_es/status/1069342275048742912</t>
  </si>
  <si>
    <t>Freelance journalist. Producing for BBC in Spain. Also Público, ETB... Y un par de sueños: @bcnmes y @gsnotaftershave. Cuéntame tu historia, DM open.</t>
  </si>
  <si>
    <t>http://esperanzaescribano.com</t>
  </si>
  <si>
    <t>Pànic Orfila</t>
  </si>
  <si>
    <t>"Es peligroso". El prestigioso diario francés Le Monde ha publicado un duro editorial que supone una seria advertencia a los líderes del PP y de Ciudadanos, Pablo Casado y Albert Rivera respectivamente, por su papel ante la irrupción de Vox en Andalucía.</t>
  </si>
  <si>
    <t>Gijón / Xixón</t>
  </si>
  <si>
    <t>Un grano no hace granero, pero ayuda al compañero. En esta nave en que vamos se necesitan remeros; el puerto es la libertad, el capitán es el Pueblo. L. Pastor</t>
  </si>
  <si>
    <t>http://palencia.cnt.es/2018/10/06/memoria-historica-la-union-de-hermanos-proletarios-uhp-la-revoluci</t>
  </si>
  <si>
    <t>Jurgen Cristh</t>
  </si>
  <si>
    <t>Susana Diaz culpando a los catalanes indepes de su fiasco electoral. Pablo Casado se niega a reformar la Constitución para suprimir la inviolabilidad del Rey, la culpa es de los catalanes indepes que quieren cargarse la unidad de España. Son los del 155 y los de la catalanofobia.</t>
  </si>
  <si>
    <t>León, España</t>
  </si>
  <si>
    <t>Republic of Catalonia</t>
  </si>
  <si>
    <t>Monolíticament ateu, apolític republicà #FreeCatalonia #IndependenceForCatalonia #Llibertat El dret a l'autodeterminació és universal 💬 #FemXarxa 🇧🇪🎗️🎗️</t>
  </si>
  <si>
    <t>nerón</t>
  </si>
  <si>
    <t>Así se mueven los hilos desde FAES.  "un chico lleno de cualidades", sobre Abascal. Pablo Casado "reúne todas las condiciones necesarias para ser un gran líder"  Rivera es un político de "una progresión extraordinaria, casi única..."</t>
  </si>
  <si>
    <t>https://www.eldiario.es/politica/cualidades-Aznar-Vox-Santiago-Abascal_0_827667371.html
https://www.elmundo.es/espana/2017/06/08/59392d6246163f38478b45a5.html</t>
  </si>
  <si>
    <t>pico del águila</t>
  </si>
  <si>
    <t>Interesado en conocer y saber más. Nada importante hoy en día.</t>
  </si>
  <si>
    <t>JoanTena🎗️💜✊</t>
  </si>
  <si>
    <t>Los corruPPtos y los fascistas de @vox_es los mismos perros con iguales collares. Pablo Casado no descarta negociar con Vox "un acuerdo de legislatura"  vía @elmundoes</t>
  </si>
  <si>
    <t>🌍</t>
  </si>
  <si>
    <t>El gran triunfo del capitalismo es hacer creer a los pobres que los enemigos son los demas pobres. #Antifascista #Feminista</t>
  </si>
  <si>
    <t>https://pbs.twimg.com/media/DtmHUvcWsAE0TFT.jpg</t>
  </si>
  <si>
    <t>Qveremos</t>
  </si>
  <si>
    <t>Pablo Casado no descarta negociar con Vox "un acuerdo de legislatura" @elmundoes</t>
  </si>
  <si>
    <t>Somos un grupo de profesionales que quiere trabajar por una sociedad y una política mejores. Qveremos una política al servicio de la persona.</t>
  </si>
  <si>
    <t>http://www.qveremos.com</t>
  </si>
  <si>
    <t>Toni #LH</t>
  </si>
  <si>
    <t>Pablo Casado quiere que @VOX__ESP aclare si son activos o pasivos.</t>
  </si>
  <si>
    <t>L'Hospitalet del Llobregat</t>
  </si>
  <si>
    <t>He crescut a Sant Martí (BCN) i sóc veí de Collblanc (L'H). Si vols anar ràpid vés sol, si vols arribar lluny vés acompanyat.</t>
  </si>
  <si>
    <t>Javi Cádiz</t>
  </si>
  <si>
    <t>Noticias Venezuela</t>
  </si>
  <si>
    <t>Periodista y geógrafo</t>
  </si>
  <si>
    <t>http://poruncadizmejor.blogspot.com.es</t>
  </si>
  <si>
    <t>https://wp.me/pakK8D-FfH</t>
  </si>
  <si>
    <t>Caracas, Venezuela</t>
  </si>
  <si>
    <t>🔴 La mejor y más actual red de noticias de Venezuela http://noticiasvenezuela.co</t>
  </si>
  <si>
    <t>http://noticiasvenezuela.org/</t>
  </si>
  <si>
    <t>Antonio M. Beaumont</t>
  </si>
  <si>
    <t>Los políticos corrosivos que a Pablo Casado aún le quedan por sacar del PP  vía @ESdiario_com</t>
  </si>
  <si>
    <t>Villaviciosa de Odón (Madrid)</t>
  </si>
  <si>
    <t>Director de ESdiario. Dieciséis años director de El Semanal Digital. Columnista de La Razón. Opino en Antena3, La Sexta, Telemadrid, Onda Cero y Onda Madrid.</t>
  </si>
  <si>
    <t>http://www.elsemanaldigital.com</t>
  </si>
  <si>
    <t>Charran Español</t>
  </si>
  <si>
    <t>http://goo.gl/X7sgxF</t>
  </si>
  <si>
    <t>https://pbs.twimg.com/media/DtmFCrbW0AE2aFP.jpg</t>
  </si>
  <si>
    <t>Me encanta sobrevolar una España que no sea llevada a la ruina por parte de los partidos de izquierdas.</t>
  </si>
  <si>
    <t>Creo que Pablo Casado está pensando en darle a Vox la Consejería de igualdad y asuntos sociales...</t>
  </si>
  <si>
    <t>Pedro</t>
  </si>
  <si>
    <t>Crítico con Susana Díaz, no me gusta ver como día a día, va cediendo paso a la oposición.</t>
  </si>
  <si>
    <t>Según Pablo Casado y Albert Rivera, los de Le Monde son unos populistas bolivarianos proetarras... RT @eldiarioes: Le Monde advierte a Ciudadanos y carga contra Casado por "normalizar el discurso" de la extrema derecha</t>
  </si>
  <si>
    <t>https://twitter.com/eldiarioes/status/1070020410111082496
https://www.eldiario.es/rastreador/Monde-advierte-Ciudadanos-Casado-normalizar-extrema-derecha_6_842775750.html</t>
  </si>
  <si>
    <t>https://pbs.twimg.com/media/Dtl3-w8XgAAKd7l.jpg</t>
  </si>
  <si>
    <t>Jorge Abad</t>
  </si>
  <si>
    <t>Hoy: todos los políticos criticando a Manuela Carmena porque tiene Instagram. Mañana: Pablo Casado grabando Stories. RT @TaboadaLucia: Existe un lugar en España ajeno a la crispación reinante, como el meme del perro sentado sonriente mientras arde su casa alrededor: el Instagram de Manuela Carmena</t>
  </si>
  <si>
    <t>https://twitter.com/TaboadaLucia/status/1069940857791504384</t>
  </si>
  <si>
    <t>https://pbs.twimg.com/media/DtkxhtxXcAAhTpg.jpg</t>
  </si>
  <si>
    <t>Hago cosas | #SocialMedia #CopyWriting #Advertising | @arn_madrid</t>
  </si>
  <si>
    <t>http://www.enocasionesmicroescribo.wordpress.com</t>
  </si>
  <si>
    <t>Fui a ver #33ElMusical y no me gustó mucho, la verdad.</t>
  </si>
  <si>
    <t>Oscar MClick</t>
  </si>
  <si>
    <t>Ganas de vomitar de ASCO por la mierda que suelta el tal Pablo Casado, según el, quien no es constitucionalidad es Podemos, VOX ya tsi eso tal que tengo que hacer acuerdos con ellos... Y que aún tengan los votos que tienen el PP con tanta poca vergüenza y mentiras.</t>
  </si>
  <si>
    <t>Humanista / Ética / Naturaleza, Ecología / Tecnología / Escritura / Fotografía / Meteorología / Movilidad eléctrica / Clima. Caminando por la Izquierda</t>
  </si>
  <si>
    <t>http://www.flickr.com/photos/clickfotoblog/</t>
  </si>
  <si>
    <t>Preparando el segundo episodio de “El Debate de la Historia”. #libros #comunismo #podcast eldebatedehoy</t>
  </si>
  <si>
    <t>https://www.instagram.com/p/Bq-ern7FgbV/?utm_source=ig_twitter_share&amp;igshid=ifgywweb1bsb</t>
  </si>
  <si>
    <t>Washington, DC</t>
  </si>
  <si>
    <t>David García</t>
  </si>
  <si>
    <t>¡Verás tú como se entere Pablo Casado...! RT @Juampi_Merk: Aprobé 5 materias en un día Rt y te pasa 😂😂</t>
  </si>
  <si>
    <t>https://twitter.com/Juampi_Merk/status/1067141272794730498</t>
  </si>
  <si>
    <t>Aprendiz de todo y maestro de nada, excepto de un poco de filosofía en los IES que me acogen.</t>
  </si>
  <si>
    <t>Ger Arribas!</t>
  </si>
  <si>
    <t>«Le Monde» ⁦censura a Pablo Casado por acostarse con la extrema derecha y advierte a Ciudadanos por su coqueteo con ella. Supongo que deberíamos hacer caso a quienes hablan desde un país que lleva una década padeciendo a la extrema derecha.</t>
  </si>
  <si>
    <t>https://www.eldiario.es/rastreador/Monde-advierte-Ciudadanos-Casado-normalizar-extrema-derecha_6_842775750.html</t>
  </si>
  <si>
    <t>De Madrid al cielo 🇪🇺</t>
  </si>
  <si>
    <t>Más chulo que un ocho. Graduado en Derecho y Filosofía por la Universidad Complutense de Madrid. #Actualidad #Política #Madrid #Europa</t>
  </si>
  <si>
    <t>Jose Luis Calvo</t>
  </si>
  <si>
    <t>Doctor en Derecho. Abogado y Graduado Social. Profesor Titular de Derecho Administrativo. Estudioso y analista de las cuestiones sociales y laborales</t>
  </si>
  <si>
    <t>GinTonicGirl</t>
  </si>
  <si>
    <t>«Las "recientes posturas" de Pablo Casado que, según el editorial de Le Monde, asocian la delincuencia a la inmigración suponen un punto de inflexión que, al no debilitar a Vox, corre el riesgo de justificar y normalizar su discurso» RT @iescolar: Ojo a este editorial de Le Monde -&gt; advertencias a Ciudadanos y duras críticas a Casado por "normalizar el discurso" de la extrema derecha</t>
  </si>
  <si>
    <t>Donde terminan mis huellas</t>
  </si>
  <si>
    <t>La chica más triste que jamás haya sostenido un gintonic.</t>
  </si>
  <si>
    <t>https://unbitcoin.wordpress.com/</t>
  </si>
  <si>
    <t>Rafael Ruiz</t>
  </si>
  <si>
    <t>¡ASÍ ES LA DERECHA Y TODAVÍA HAY QUIEN NO LO SABE¡ Casado, antes de Andalucía: “Queremos que gobierne la lista más votada”</t>
  </si>
  <si>
    <t>https://www.elplural.com/politica/pablo-casado-debe-gobernar-la-lista-mas-votada-porque-los-ciudadanos-deciden-con-su-voto_207439102</t>
  </si>
  <si>
    <t>Ideólogo. La alternancia fecunda el suelo de la democracia.</t>
  </si>
  <si>
    <t>https://pbs.twimg.com/media/Dtl92b8W0AAVVPc.jpg</t>
  </si>
  <si>
    <t>MP. Rojas</t>
  </si>
  <si>
    <t>Pablo Casado no descarta ofrecer consejerías a Ciudadanos y a Vox</t>
  </si>
  <si>
    <t>https://es.blastingnews.com/politica/2018/12/pablo-casado-no-descarta-ofrecer-consejerias-a-ciudadanos-y-a-vox-002789599.html</t>
  </si>
  <si>
    <t>Creador de contenidos para Web.</t>
  </si>
  <si>
    <t>https://www.linkedin.com/in/manuelpuentesrojas/</t>
  </si>
  <si>
    <t>Jesús Ortega</t>
  </si>
  <si>
    <t>Ojo, que Pablo Casado tiene suerte...</t>
  </si>
  <si>
    <t>https://bit.ly/2EdUtCn</t>
  </si>
  <si>
    <t>https://pbs.twimg.com/media/Dtl8tnwWsAAWs7B.jpg</t>
  </si>
  <si>
    <t>Periodista. Aprovecho mi cuenta en Twitter para compartir las noticias que escribo en El Confidencial Digital y también comentar los temas de actualidad</t>
  </si>
  <si>
    <t>fmb</t>
  </si>
  <si>
    <t>Pablo Casado debería, al menos en horario infantil, contenerse un poco al hablar de Vox</t>
  </si>
  <si>
    <t>Yo vine aquí por las risas. Y para hablar de mi libro, pero…</t>
  </si>
  <si>
    <t>Casado demuestra tener pocas luces. No entiende el panorama político y añora a los fascistas del PP que se han ido. No te preocupes Pablo, contarán contigo para perseguir a independentistas, comunistas, podemitas,mujeres,inmigrantes,homosexuales,gitanos,vagos,maleantes...</t>
  </si>
  <si>
    <t>Las declaraciones de Pablo Casado en las que no cierra la puerta a que Vox entre en un Gobierno del PP en Andalucía, entre las noticias que debes conocer a esta hora #3deA3N</t>
  </si>
  <si>
    <t>http://atres.red/rqoqg220</t>
  </si>
  <si>
    <t>pic.twitter.com/SvBkf9gKhy</t>
  </si>
  <si>
    <t>El director de orquesta Pablo Heras-Casado condecorado como Caballero de la Orden de las Artes y las Letras de Francia</t>
  </si>
  <si>
    <t>https://okdiario.com/cultura/2018/12/03/director-orquesta-pablo-heras-casado-condecorado-como-caballero-orden-artes-letras-francia-3424737?utm_term=Autofeed&amp;utm_campaign=ok&amp;utm_medium=Social&amp;utm_source=Twitter#Echobox=1543946706</t>
  </si>
  <si>
    <t>MORENO tiene q ser el presidente de la JUNTA porq lo a DICHO PABLO CASADO!!Y ESTO VA A MISA !!!!!!!</t>
  </si>
  <si>
    <t>#ÚltimaHora Pablo Casado ofrece varias Consejerias de la Junta de Andalucia al Ku Klux Klan</t>
  </si>
  <si>
    <t>https://pbs.twimg.com/media/Dtl3-P8X4AE2kPW.jpg</t>
  </si>
  <si>
    <t>josegabriel</t>
  </si>
  <si>
    <t>Cuando oigas: No hay que preocuparse por investigar , ni leer para hablar d historia o d economía,ni ir a clase,ni hacer exámenes pa obtener títulos, como ha hecho Pablo Casado, por ejemplo, es ignorancia y es fascismo y pone en cuestión todo el sistema educativo.</t>
  </si>
  <si>
    <t>Ciudadano del mundo. Doctor (PhD) en Geo e Historia. Investigador. Profe.Nada humano me es ajeno. Cooperante. Proyectos de Desarrollo. Humor cáustico, dicen!</t>
  </si>
  <si>
    <t>http://elregresodejuandemairena.blogspot.com.es/</t>
  </si>
  <si>
    <t>https://pbs.twimg.com/media/Dtl1h6qWsAEH4fz.jpg</t>
  </si>
  <si>
    <t>Para Pablo Casado, tanto Theresa May como Fabián Picardo se rien del acuerdo  #TratadoUtrech #ConflictoGibraltarEspaña #DerechoDeAutodeterminación #Brexit</t>
  </si>
  <si>
    <t>http://www.multiforo.eu/Colaboraciones/2018/TratadoDeUtrechDos.htm</t>
  </si>
  <si>
    <t>cristina de la hoz</t>
  </si>
  <si>
    <t>Pablo Casado empieza por Albacete y Murcia a despejar la incógnita de sus candidatos. Madrid (comunidad y Ayuntamiento), Valencia y Barcelona tendrán q esperar. @indpcom</t>
  </si>
  <si>
    <t>Periodista de El Independiente y colaboradora en distintas tertulias de radio y televisión</t>
  </si>
  <si>
    <t>...ya es noticia!</t>
  </si>
  <si>
    <t>https://pbs.twimg.com/media/DtlzkWWW0AUyOZU.jpg</t>
  </si>
  <si>
    <t>Noticias interesantes y sin duda valiosas.</t>
  </si>
  <si>
    <t>VidALeT🎗</t>
  </si>
  <si>
    <t>Albert Rivera y Pablo Casado coinciden en que ciertamente VOX es anticonstitucionalista, pero en el sentido bueno.</t>
  </si>
  <si>
    <t>Pirata fullero i cabronet</t>
  </si>
  <si>
    <t>Pablo Casado no descarta afiliarse a Vox.</t>
  </si>
  <si>
    <t>https://pbs.twimg.com/media/DtlxnPdWwAIqEDO.jpg</t>
  </si>
  <si>
    <t>Ángel Luis Llamas</t>
  </si>
  <si>
    <t>Aragon, Spain</t>
  </si>
  <si>
    <t>Cloud Walker (Nefelibata digital)</t>
  </si>
  <si>
    <t>https://pbs.twimg.com/media/Dtlxm07XcAADBSn.jpg</t>
  </si>
  <si>
    <t>https://pbs.twimg.com/media/DtlxmbDWwAA51aw.jpg</t>
  </si>
  <si>
    <t>zonarockradio</t>
  </si>
  <si>
    <t xml:space="preserve">españa </t>
  </si>
  <si>
    <t>El chato de Móstoles</t>
  </si>
  <si>
    <t>Es claro, que "vox ", es la " voz " de Franco. Y Pablo esta Casado con "vox ".</t>
  </si>
  <si>
    <t>Jujuju 🎄🎄🎄🎄🎄🎄</t>
  </si>
  <si>
    <t>viva el rey (versión pablo casado) RT @C5N: Estaba en coma, la iban a desconectar y tres palabras le salvaron la vida</t>
  </si>
  <si>
    <t>https://twitter.com/C5N/status/1064760248978702336
https://goo.gl/YJPLKf</t>
  </si>
  <si>
    <t>https://pbs.twimg.com/media/DsZ3UAQW0AAjFrW.jpg</t>
  </si>
  <si>
    <t>bitchin so hard</t>
  </si>
  <si>
    <t>Canduterio de Cai</t>
  </si>
  <si>
    <t>La violencia, es el último recurso del incompetente. Pero una buena hostia a tiempo, es mano de santo.</t>
  </si>
  <si>
    <t>Pilar Barrientos#25N 💜</t>
  </si>
  <si>
    <t>Una cosita Pablo Casado, como era aquello del gobierno de los perdedores o gobierno Frankinstein y estos son mis principios, sino te gustan tengo otros 😱 vía @eldiarioes</t>
  </si>
  <si>
    <t>https://www.eldiario.es/_323ad3fa</t>
  </si>
  <si>
    <t>Política, feminista y demás....en definitiva, una lacra para la sociedad actual</t>
  </si>
  <si>
    <t>https://pbs.twimg.com/media/DtlvnufWkAUJoSP.jpg</t>
  </si>
  <si>
    <t>El líder del PP entiende la posible eliminación de la inviolabilidad de Felipe VI como un regalo al independentismo a pesar de que Sánchez asegura que el monarca estaría de acuerdo</t>
  </si>
  <si>
    <t>https://www.elplural.com/politica/pablo-casado-rechaza-suprimir-inviolabilidad-del-rey_207544102</t>
  </si>
  <si>
    <t>https://pbs.twimg.com/media/DtltsFpX4AIrWrQ.jpg</t>
  </si>
  <si>
    <t>https://pbs.twimg.com/media/DtltrgNXcAE1BWt.jpg</t>
  </si>
  <si>
    <t>Teresa Aguilar</t>
  </si>
  <si>
    <t>Esto es un horror, tenemos que pararlo !!! Pablo Casado no descarta ceder consejerías a Vox en un Gobierno de Juanma Moreno</t>
  </si>
  <si>
    <t>https://www.diariodesevilla.es/andalucia/Pablo-Casado-Gobierno-Juanma-Moreno_0_1306369578.html</t>
  </si>
  <si>
    <t>Sencilla...</t>
  </si>
  <si>
    <t>https://pbs.twimg.com/media/Dtlrq-tW4AEofZS.jpg</t>
  </si>
  <si>
    <t>MARIA EUGENIA RUFINO</t>
  </si>
  <si>
    <t>Estos son mis principios y, si no "me" gustan, tengo otros...</t>
  </si>
  <si>
    <t>https://www.google.com/amp/s/www.elplural.com/politica/pablo-casado-debe-gobernar-la-lista-mas-votada-porque-los-ciudadanos-deciden-con-su-voto_207439102_amp</t>
  </si>
  <si>
    <t>Salobreña (Granada)</t>
  </si>
  <si>
    <t>Alcaldesa de Salobreña</t>
  </si>
  <si>
    <t>María José Artuch</t>
  </si>
  <si>
    <t>PSOE carga contra la comisión sobre la tesis de Sánchez en el Senado y ERC baraja pedir que declare Pablo Casado.</t>
  </si>
  <si>
    <t>https://www.europapress.es/nacional/noticia-psoe-carga-contra-comision-tesis-sanchez-senado-erc-baraja-pedir-declare-pablo-casado-20181204132621.html</t>
  </si>
  <si>
    <t>Periodista de Europa Press en Madrid</t>
  </si>
  <si>
    <t>Berta Barbet</t>
  </si>
  <si>
    <t>Pablo Casado hablando del tema y legitimando el discurso, los medios dando sensación de viabilidad a Vox, y los resultados de El Ejido. ¿No estais descartando muy rápido que lo de Vox tenga que ver con la immigración y se lo estáis atribuyendo muy rápido todo a Cataluña?</t>
  </si>
  <si>
    <t>Politóloga. Investigadora post-doctoral en @dec_gr y editora de @politikon_es. Apoyando a @SiConMujeres . In english at @BertaBarbet</t>
  </si>
  <si>
    <t>https://pbs.twimg.com/media/DtlppIkWwAApUMi.jpg</t>
  </si>
  <si>
    <t>Pablo Casado, adelantó que "seguirá pidiendo un Gibraltar español" tras el fracaso histórico de Sánchez en la negociación del Brexit  @_Contrainfo TratadoUtrech #ConflictoGibraltarEspaña #DerechoDeAutodeterminación #Brexit</t>
  </si>
  <si>
    <t>Manuel González</t>
  </si>
  <si>
    <t>Zarzalejos: Y Pablo Casado no ha hecho otra cosa que reconocer a Vox el estatuto político que Sánchez ha ofrecido a la extrema izquierda y al independentismo rupturista" :</t>
  </si>
  <si>
    <t>https://blogs.elconfidencial.com/espana/notebook/2018-12-04/elecciones-andalucia-fracaso-sanchez_1683858/?utm_source=twitter&amp;utm_medium=social&amp;utm_campaign=ECNocheAutomatico</t>
  </si>
  <si>
    <t>Responsable de informativos de @serlucena para el sur de Córdoba. Escribo en @abccordoba y @agenciaarea11. Ningún ser humano es ilegal.</t>
  </si>
  <si>
    <t>https://manuelgonzalezperiodista.wordpress.com/</t>
  </si>
  <si>
    <t>https://noticiasvenezuela.co/2018/12/04/contundente-pablo-casado-defiende-la-inviolabilidad-del-rey/</t>
  </si>
  <si>
    <t>EXTRA!</t>
  </si>
  <si>
    <t>Noticias ciudadanas de Venezuela y El Mundo</t>
  </si>
  <si>
    <t>http://noticiasvenezuela.co</t>
  </si>
  <si>
    <t>ni1dea</t>
  </si>
  <si>
    <t>Casado no descarta ceder consejerías a Vox en un Gobierno de Juanma Moreno</t>
  </si>
  <si>
    <t>El dia que et desmobilitzis estem perduts. ¡No Pasarán! https://consell.republicat.cat/</t>
  </si>
  <si>
    <t>En Nuestra Plaza: PODEMOS TIENE QUE QUERELLARSE CONTRA PABLO CASADO.</t>
  </si>
  <si>
    <t>https://ift.tt/2SrsSRq</t>
  </si>
  <si>
    <t>Según Pablo Casado, de nada sirven las cartas del Consejo de la Comisión Europea ni las cartas del embajador en Bruselas del RU porque no son jurídicamente vinculantes  #TratadoUtrech #ConflictoGibraltarEspaña #DerechoDeAutodeterminación #Brexit</t>
  </si>
  <si>
    <t>Caninfin</t>
  </si>
  <si>
    <t>Pablo Casado, se atraganta y lo quiere too. Andalucía,La Moncloa, Cataluña etc etc. Cuando lleguen las Europeas, las municipales y las autonómicas, quiere arramplar con to .No le va a dejar na a Rivera ,Si acaso...,alguna secretaría para vox</t>
  </si>
  <si>
    <t>Camilo</t>
  </si>
  <si>
    <t>Pablo Casado y Santiago Abascal son la herencia que nos deja Esperanza Aguirre, quien nos observa retirada en oscura mansión, riéndose con carcajadas malvadas mientras España se empantana con su legado RT @Antiseductor: Pues en verdad no me parece que esté de más el señalar que Santiago Abascal bebió bien de los fondos 💸💸💸 del PP de Esperanza Aguirre. Menos outsider que Trump, chacho.</t>
  </si>
  <si>
    <t>https://twitter.com/Antiseductor/status/1069997589376966658</t>
  </si>
  <si>
    <t>Pesimista a corto plazo, optimista a largo plazo</t>
  </si>
  <si>
    <t>Euskadi</t>
  </si>
  <si>
    <t>Tartarus☭</t>
  </si>
  <si>
    <t>Escuchando a Pablo Casado hablar de VOX y constitucionalismo en la misma frase es como hablar de Hitler y democracia</t>
  </si>
  <si>
    <t>Professor de secundària i alumne de la vida. Reflexionant des de l'esquerra. Nosaltres el poble. Ells ja saps qui són però no som nosaltres</t>
  </si>
  <si>
    <t>cesitah</t>
  </si>
  <si>
    <t>pablo casado es un cunado xdd lol No, ahora en serio. Ese argumento no nos pareció razonable cuando lo dijo y ahora no lo podemos utilizar porque (sorpresa) sigue siendo IGUAL DE ABSURDO. RT @cunadometro: ¿Os acordáis cuando @pablocasado_ decía éstas cosas? Pues se ve que él tampoco. #PresidenciaAndaluzaARV</t>
  </si>
  <si>
    <t>COPE</t>
  </si>
  <si>
    <t>https://twitter.com/cunadometro/status/1069941071218728960</t>
  </si>
  <si>
    <t>pic.twitter.com/ZU94XeCyl5</t>
  </si>
  <si>
    <t>in the river in the window</t>
  </si>
  <si>
    <t>esto que va colón por la calle le dicen eres colón dice si cómo me has reconocido y le dicen pues por la pinta</t>
  </si>
  <si>
    <t>https://dimesisoytonto.com/</t>
  </si>
  <si>
    <t>Está pasando, estás en COPE 📻 Toda la información 💻, el mejor equipo de la radio deportiva🏅, el mejor entretenimiento y podcast 🎙️</t>
  </si>
  <si>
    <t>http://www.cope.es</t>
  </si>
  <si>
    <t>josep turu</t>
  </si>
  <si>
    <t>Casado ya le lame el bul a VOX y le huele bien, ¡encantado, el chaval! . #Casado #EleccionesAdalucía #SiSePuede #PSOE #FelizLunes #3dicembre #Democracia #libertad #ConstitucionEspanola #Pp @ahorapodemos @psoedeandalucia #Ciudadanos @CiudadanosCs @Pablo_Iglesias_ @MiercolesRepub1</t>
  </si>
  <si>
    <t>Spain, Pirineos, Huesca</t>
  </si>
  <si>
    <t>Ver, relatar, pensar e imaginar el mundo. Escribir &amp; fotografiar. #fotografía,#literatura,#progreso, #política, #relatos, #novela, #fotografías</t>
  </si>
  <si>
    <t>http://serraniadepalabras.blogspot.com/</t>
  </si>
  <si>
    <t>BEGOÑA HERNANDEZ</t>
  </si>
  <si>
    <t>Creía haber llegado al nivel máximo de hartazgo político... hasta que oigo hablar a Pablo Casado y veo que me harto todavía un poquito más</t>
  </si>
  <si>
    <t>http://preguntaamienfermera.blogspot.com.es</t>
  </si>
  <si>
    <t>José Miguel</t>
  </si>
  <si>
    <t>Pablo Casado le dice a Abascal que si es activo o pasivo. #LoveActually</t>
  </si>
  <si>
    <t>Sin Periodismo no hay Democracia #LibertadDePrensa</t>
  </si>
  <si>
    <t>Guerra</t>
  </si>
  <si>
    <t>Cualquier día de estos, se abre la camisa Pablo Casado y dice que es de Vox. RT @Cazatalentos: Que maravilla... Los afiliados al ultraderechista Vox tenían un 50% de descuento en el Máster de la Universidad Rey Juan Carlos</t>
  </si>
  <si>
    <t>https://twitter.com/cazatalentos/status/1069739287694987270
http://insurgente.org/los-afiliados-al-ultraderechista-vox-tenian-un-50-de-descuento-en-el-master-de-la-universidad-rey-juan-carlos/</t>
  </si>
  <si>
    <t>De cada cual según sus capacidades, a cada cual según sus necesidades✊FEMINISMO DE CLASE♀ Lo mejor es lo que queda por venir.</t>
  </si>
  <si>
    <t>http://Instagram.com/lady_war</t>
  </si>
  <si>
    <t>Basi</t>
  </si>
  <si>
    <t>¿A qué espera Pablo Casado para cesar a Rosa Romero? via @El_Plural</t>
  </si>
  <si>
    <t>https://www.elplural.com/politica/pablo-casado-rosa-romero-sancion-partido-popular-cnmv-josep-borrell_207148102</t>
  </si>
  <si>
    <t>SOY CIUDADANA DEL MUNDO</t>
  </si>
  <si>
    <t>Lucho porque se cumplan los DERECHOS HUMANOS</t>
  </si>
  <si>
    <t>Orii Velasquez</t>
  </si>
  <si>
    <t>“Estas anécdotas harán que te enamorares de Pablo Casado” por @cl4usman  …</t>
  </si>
  <si>
    <t>https://twitter.com/i/moments/827568772739391489
http://dlvr.it/Qspl4D</t>
  </si>
  <si>
    <t>Ugma ingenieria industrial, me gusta la yuca con sardina</t>
  </si>
  <si>
    <t>Serapio Arteseros Gonzalez</t>
  </si>
  <si>
    <t>Pablo casado si</t>
  </si>
  <si>
    <t>Bienvenidos a la Resistencia</t>
  </si>
  <si>
    <t>1. Yo estoy cómodo votando al PP de Pablo Casado, homologable a la CDU de Merkel y al republicanismo de Macron. Y creo que lo hubiera estado con SSS al frente, y lo estaba con Mariano Rajoy, poco menos que un titán político al lado d lo que tenemos ahora en Moncloa y alrededores.</t>
  </si>
  <si>
    <t>Nací a principios de los 80 al sur de Despeñaperros. Nacionalidad Unipersonal Histórica con derecho a deuda no menos histórica. No soy partidario de lo malo.</t>
  </si>
  <si>
    <t>http://ignacioromero.blogspot.com</t>
  </si>
  <si>
    <t>Por y segun, D. Pablo Casado cree que "Podemos lleva años fuera de la Constitución" y de ellos "nadie ha dicho nada" :</t>
  </si>
  <si>
    <t>https://okdiario.com/espana/2018/12/04/casado-cree-que-podemos-lleva-anos-fuera-constitucion-ellos-nadie-dicho-nada-3427403#.XAak8dj0riU.twitter</t>
  </si>
  <si>
    <t>https://pbs.twimg.com/media/Dtk00HTXQAAncSL.jpg</t>
  </si>
  <si>
    <t>XOSE LIEIRO</t>
  </si>
  <si>
    <t>https://twitter.com/elconfidencial/status/1069920952157388801
https://www.elconfidencial.com/elecciones-andalucia/2018-12-03/resultados-elecciones-andaluzas-vox-susana-diaz_1682186/?utm_source=twitter&amp;utm_medium=social&amp;utm_campaign=ECDiarioManual</t>
  </si>
  <si>
    <t>LIEIRO</t>
  </si>
  <si>
    <t>http://www.geo.ya.com/xose36/</t>
  </si>
  <si>
    <t>Fernando Durán</t>
  </si>
  <si>
    <t>Dice Pablo Casado que @ahorapodemos lleva años fuera de la Constitución y mientras, comienza a buscar acuerdos con VOX en Andalucía. Este necio y su gemelo Albert Rivera, no creo que presidan nunca ni su comunidad de vecinos Ku Klus Klan #VOX #Fascismo #PP</t>
  </si>
  <si>
    <t>https://www.europapress.es/nacional/noticia-casado-podemos-lleva-fuera-constitucion-varios-anos-nadie-dicho-nada-20181204155944.html</t>
  </si>
  <si>
    <t>❤️💛💜 #EnergíasRenovables y tecnología que aportan soluciones: al #MedioAmbiente, pobreza, paro y #CambioClimático. #NuclearesNO #StopCO2. #RealMadrid ⚽️ #UPP</t>
  </si>
  <si>
    <t>Luis vicente espinos</t>
  </si>
  <si>
    <t>Quizás el señor Pablo Casado debe medir sus palabras al decir que Podemos está fuera de la constitución, pues hablemos a estado fuera de la constitución ustedes mandaron 8 años cuántas cosas no han cumplido con respecto a los ciudadanos por ejemplo a los pensionistas y PP Y PSOE.</t>
  </si>
  <si>
    <t>villena (alicante )</t>
  </si>
  <si>
    <t>Apoyo una República no solo para Cataluña si no para toda España. Una República en España es mejor que solo una República en Cataluña.</t>
  </si>
  <si>
    <t>Don Rodrigo 🇪🇸</t>
  </si>
  <si>
    <t>"Casado: Vox tiene que decidir si tiene una posición pasiva o activa en Andalucía"</t>
  </si>
  <si>
    <t>https://www.elconfidencial.com/elecciones-andalucia/2018-12-04/elecciones-andalucia-pablo-casado-pp-vox-ciudadanos_1685222/</t>
  </si>
  <si>
    <t>Reyno de España</t>
  </si>
  <si>
    <t>PLVS VLTRA ✝️DeusVult</t>
  </si>
  <si>
    <t>Aurelio Gonzalez #R</t>
  </si>
  <si>
    <t>Aquí hay tema. Se ponen a hablar de sexo y ya se percibe "tensión sexual". 🍿🍿🍿🍿🍿🍿🍿🍿</t>
  </si>
  <si>
    <t>https://www.google.es/amp/s/www.elconfidencial.com/amp/elecciones-andalucia/2018-12-04/elecciones-andalucia-pablo-casado-pp-vox-ciudadanos_1685222/</t>
  </si>
  <si>
    <t>Villarcayo MCV. Burgos. Spain</t>
  </si>
  <si>
    <t>Abogado en Las Merindades de Castilla.</t>
  </si>
  <si>
    <t>http://aureliogonzalezalonso.com</t>
  </si>
  <si>
    <t>https://www.eldiario.es/rastreador/Klux-Klan-Vox-Reconquista-Andalucia_6_842775724.html</t>
  </si>
  <si>
    <t>Al líder del Ku Klux Klan le gusta VOX porque es un ejemplo de diálogo y moderación. Por eso Pablo Casado y Albert Rivera no descartan pactar, supongo.</t>
  </si>
  <si>
    <t>José Manuel Girela</t>
  </si>
  <si>
    <t>Cuando Pablo Casado no descarta dar poder y responsabilidades en su hipotético gobierno a la ultraderecha es porque comparte esto ¿no?.</t>
  </si>
  <si>
    <t>https://pbs.twimg.com/media/DtlRfCHXgAIRKgT.jpg</t>
  </si>
  <si>
    <t>Deportista con ganas.Trabajando para la Cultura,el Turismo y Deporte en #Sevilla.Socialista responsable del área de Formación del @psoedesevilla</t>
  </si>
  <si>
    <t>Badajoz</t>
  </si>
  <si>
    <t>Casado, a favor de la inviolabilidad del Rey: "No es el problema de España" via @El_Plural  El líder del PP acusa a Sánchez de intentar "contentar a los independentistas"</t>
  </si>
  <si>
    <t>https://www.elplural.com/politica/pablo-casado-rechaza-suprimir-inviolabilidad-del-rey-problema_207544102</t>
  </si>
  <si>
    <t>clausman</t>
  </si>
  <si>
    <t>⚡️ “Estas anécdotas harán que te enamorares de Pablo Casado” por @cl4usman</t>
  </si>
  <si>
    <t>https://twitter.com/i/moments/827568772739391489</t>
  </si>
  <si>
    <t>España, Madrid, Granada</t>
  </si>
  <si>
    <t>Tuits con ese estilo único que tanto abunda. Influenced. Film editor on weekdays.</t>
  </si>
  <si>
    <t>Pedro Sánchez, Pablo Iglesias, Susana Díaz, Teresa Rodríguez, Casado, Rivera Cual es su opinión sobre un documento donde quien firma se hace pasar por un cargo que no tiene, con el conocimiento de todos, y las de sus partidos políticos</t>
  </si>
  <si>
    <t>Ediciones Destino</t>
  </si>
  <si>
    <t>.@amelanovela "Somos eso que sucedió. Y por eso hay el impulso, en algunas personas, de saber, verbalizarlo. El altar ante el que hay que arrodillarse es el altar de la amistad, no el de una ideología." #YopudesalvaraLorca  vía @diariomallorca</t>
  </si>
  <si>
    <t>https://www.diariodemallorca.es/cultura/2018/12/04/pablo-casado-enemigo-quiere-lapidar/1371752.html</t>
  </si>
  <si>
    <t>@CareSantos vuelve a enfrentarnos a nuestras pasiones y fragilidades, a la VIDA #Todoelbienytodoelmal es sin duda una de sus novelas más ambiciosas y valientes.</t>
  </si>
  <si>
    <t>https://bit.ly/2PP55dj</t>
  </si>
  <si>
    <t>Elisa</t>
  </si>
  <si>
    <t>Este es el número 1 de VOX por Andalucía con el que Albert Rivera y Pablo Casado quiere gobernar. Nada más que añadir. #PresidenciaAndaluzaARV</t>
  </si>
  <si>
    <t>https://pbs.twimg.com/media/DtlMprcW4AMJSWB.jpg</t>
  </si>
  <si>
    <t>e4.Málaga.e5.</t>
  </si>
  <si>
    <t>EL PAÍS España</t>
  </si>
  <si>
    <t>El presidente del PP, Pablo Casado, no descarta negociar con Ciudadanos y Vox un pacto de Gobierno en Andalucía que incluya un reparto de consejerías para ambos partidos</t>
  </si>
  <si>
    <t>http://ow.ly/qkBg30mRgWF</t>
  </si>
  <si>
    <t>Únete a la conversación sobre los grandes temas políticos y ciudadanos. Por la Redacción de España de EL PAÍS</t>
  </si>
  <si>
    <t>http://politica.elpais.com/</t>
  </si>
  <si>
    <t>Pablo Casado no ha descartado que Vox pueda entrar en el Ejecutivo andaluz | Más info ℹ️ y vídeo completo ▶️</t>
  </si>
  <si>
    <t>http://csur.red/Yzmf50jRkD0</t>
  </si>
  <si>
    <t>https://pbs.twimg.com/media/DtlLqz-W0AAYCoG.jpg</t>
  </si>
  <si>
    <t>James Canapé</t>
  </si>
  <si>
    <t>Pablo Iglesias "Lo que ha ocurrido en Andalucía es culpa de gente como la basura de Eduardo Inda" ¿Os imagináis a Casado diciendo "todo es culpa de la basura de Antonio Ferreras"? la que se montaría</t>
  </si>
  <si>
    <t>Océano de secretos</t>
  </si>
  <si>
    <t>Casado: "Vox tiene que decidir si tiene una posición pasiva o activa en Andalucía"</t>
  </si>
  <si>
    <t>Anna</t>
  </si>
  <si>
    <t>Estoy yo aquí tranquila, haciendo la digestión ... y de repente me ha venido a la cabeza Pablo Casado y el PP entero por lo de Andalucía .. Tienen que estar pidiendo turno para las procesiones de Semana Santa y pensando “no hemos sido suficientemente fachas!”</t>
  </si>
  <si>
    <t>pic.twitter.com/hvUUTrC1tB</t>
  </si>
  <si>
    <t>Procura siempre, ponerte algo que combine. Por ejemplo, la cabeza que haga juego con el corazón, y las palabras ... con la buena educación ⚽️⚽️⚽️💯</t>
  </si>
  <si>
    <t>Barcelona today</t>
  </si>
  <si>
    <t>Pablo Casado ha abierto las posibilidades de pacto en Andalucía con Ciudadanos y Vox hasta un acuerdo de gobierno, con reparto de consejerías.</t>
  </si>
  <si>
    <t>https://www.antena3.com/noticias/espana/casado-se-abre-a-compartir-gobierno-con-vox-en-andalucia-video_201812045c067bbc0cf2d96fe2f77938.html</t>
  </si>
  <si>
    <t>Lu🦋</t>
  </si>
  <si>
    <t>Pablo Casado y Albert Rivera también han votado a VOX que no os engañen.</t>
  </si>
  <si>
    <t>Somewhere else</t>
  </si>
  <si>
    <t>19. Dancing queen young and sweet only nineteen✨</t>
  </si>
  <si>
    <t>JaviUzumaki🍥</t>
  </si>
  <si>
    <t>NO entiendo y no entenderé que @ahorapodemos no se querelle ante los tribunales con Pablo Casado por las acusaciones que éste vierte sobre #Podemos de defender la historia de ETA. Defiendan la dignidad de la organización y sus militantes. NO TODO VALE!! @Pablo_Iglesias_</t>
  </si>
  <si>
    <t>Vigo|Galiza Afouteza e Corazón</t>
  </si>
  <si>
    <t>#República💜 #Ecology🌍 #CircularEconomy🔄 #RBU☮ #Antifascista✊ #RCCelta💙 #Cinéfilo🎬 #Pastafari🍝 Rey en el Norte🐺 •Encuentra lo que amas y deja que te mate•</t>
  </si>
  <si>
    <t>https://m.filmaffinity.com/es/user_profile.php?id-user=8136735</t>
  </si>
  <si>
    <t>miliciano</t>
  </si>
  <si>
    <t>Pablo Casado no se esconde ,es un fascista de mucho cuidado lo mismo que Alberto Rivera. RT @iescolar: Casado abre la puerta a dar consejerías a Vox en Andalucía. Es decir, que formen parte del Gobierno</t>
  </si>
  <si>
    <t>https://twitter.com/iescolar/status/1069939452905172992
https://www.eldiario.es/politica/Casado-consejerias-Vox-Andalucia-Gobierno_0_842716154.html</t>
  </si>
  <si>
    <t>Ateo ,Rojo, Republicano y con alergia a la Monarquia.</t>
  </si>
  <si>
    <t>viejossindicalistasc</t>
  </si>
  <si>
    <t>Pues mira.. Tu. Pablo Iglesias.. Echenique.. Rufián, Casado, etc.. Me parecéis la misma mierda! RT @Santi_ABASCAL: Que asco ver a Pablo Mezquitas, desde su mansión de nuevo rico, azuzando el odio y la violencia callejera. Es tan miserable como sus adorados tiranos chavistas, pero aún más cobarde. Y qué repugnante ver a millonarios mediáticos azuzando la violencia política q nunca han padecido</t>
  </si>
  <si>
    <t>https://twitter.com/Santi_ABASCAL/status/1069722798074068992</t>
  </si>
  <si>
    <t>pic.twitter.com/j1UqiWR0Lk</t>
  </si>
  <si>
    <t>Tenerife . Canarias</t>
  </si>
  <si>
    <t>Tenerife. Puro mojo picón. Lo mismo me da dar una patada en los huevos a la izquierda que una hostia a la mierda de la derecha.</t>
  </si>
  <si>
    <t>FE®️®️®️NANDEZ ❄️</t>
  </si>
  <si>
    <t>- Se abre el telon: + Aparece un simio cantando - Quienes son? + Pablo Casado en “La Vox” ✌🏻 No apto para lectores con un ingenio por encima de la media ni veganos</t>
  </si>
  <si>
    <t>Barcelona y Asturias 🍃</t>
  </si>
  <si>
    <t>BeatBoxer en mis ratos libres 🤭🎶 🎶🎶🎶🎶🎶 #MakeItReal. H.H . - Tatuado el bombo Y caja - 🎙💎⚔️</t>
  </si>
  <si>
    <t>http://www.urbanroosters.com</t>
  </si>
  <si>
    <t>AnKris</t>
  </si>
  <si>
    <t>Lo que más me raya de todo esto es lo que os escandaliza vox con sus propuestas como si Pablo Casado o el PP en general no hubiesen soltado cosas iguales o peores y son uno de los partidos principales</t>
  </si>
  <si>
    <t>La tierra es de quien la trabaja 🇸🇾 🇵🇸</t>
  </si>
  <si>
    <t>https://www.instagram.com/smqphotography_/</t>
  </si>
  <si>
    <t>M. Ángel López Bravo</t>
  </si>
  <si>
    <t>Las mentiras de Pablo Casado sobre la renovación del Poder Judicial y el ‘wasap’ de Cosidó</t>
  </si>
  <si>
    <t>https://www.eldiario.es/escolar/Pablo-Casado-Poder-Judicial-Cosido_6_838576166.html</t>
  </si>
  <si>
    <t>Apasionado de la cultura Oriental.</t>
  </si>
  <si>
    <t>Luisao Moratalla</t>
  </si>
  <si>
    <t>Pablo Casado dice que los fascistas de VOX no son peligrosos. Que los peligrosos son los radicales que quieren subir las pensiones y el salario mínimo.</t>
  </si>
  <si>
    <t xml:space="preserve">Murcia </t>
  </si>
  <si>
    <t>Soy capaz de correr un minuto en menos de 60 segundos.</t>
  </si>
  <si>
    <t>Juan Luis Ortega</t>
  </si>
  <si>
    <t>El antiguo líder del Ku Klux Klan felicita a Vox. Que cada uno saque sus conclusiones...sobre todo Albert Rivera #Cs y Pablo Casado #PP</t>
  </si>
  <si>
    <t>The World</t>
  </si>
  <si>
    <t>Fan de sus satánicas majestades...(The Rolling Stones) y de Marx (Groucho) y del otro Marx (Harpo)</t>
  </si>
  <si>
    <t>Evaristo Rui</t>
  </si>
  <si>
    <t>Los dos hijos de Pablo Casado nacieron con el BUP ya aprobado, según la matrona que los atendió en el parto  via @rokambolnews</t>
  </si>
  <si>
    <t>http://rokambol.com/los-dos-hijos-de-pablo-casado-nacieron-con-el-bup-ya-aprobado-segun-la-matrona-los-atendio-en-el-parto/</t>
  </si>
  <si>
    <t>El Nuevo País y Zeta (temporal)</t>
  </si>
  <si>
    <t>Líder del PP, Pablo Casado considera que logro de Vox en Andalucía contribuirá a reunificar a la derecha.</t>
  </si>
  <si>
    <t>https://elnuevopais.net/2018/12/04/casado-considera-que-logro-de-vox-en-andalucia-contribuira-a-reunificar-a-la-derecha/</t>
  </si>
  <si>
    <t>https://pbs.twimg.com/media/Dtk0GG0XgAExTPe.jpg</t>
  </si>
  <si>
    <t>Cuenta temporal: El Nuevo País y la revista ZETA 🇻🇪 🇪🇸 🇺🇸¡Disponible 24/7!</t>
  </si>
  <si>
    <t>http://www.elnuevopais.net</t>
  </si>
  <si>
    <t>cunetas madrid</t>
  </si>
  <si>
    <t>Pablo Casado L@s independentistas están en la cárcel.Impunidad la vuestra, fascistas, que matáis,robáis y ni lo devolveis ni vais al trullo.</t>
  </si>
  <si>
    <t>soy Mr. Magu</t>
  </si>
  <si>
    <t>Escafoides</t>
  </si>
  <si>
    <t>Pablo Casado dice que pactará con Vox, es decir, fascista dice que pactará con fascista</t>
  </si>
  <si>
    <t>★ Sueña grande y vuela alto ★</t>
  </si>
  <si>
    <t>~Dancing In The Rain~ 🌈</t>
  </si>
  <si>
    <t>Casado: ‶Vox tiene que decidir si tiene una posición pasiva o activa en Andalucía‶</t>
  </si>
  <si>
    <t>https://www.elconfidencial.com/elecciones-andalucia/2018-12-04/elecciones-andalucia-pablo-casado-pp-vox-ciudadanos_1685222/?utm_source=twitter&amp;utm_medium=social&amp;utm_campaign=ECDiarioManual</t>
  </si>
  <si>
    <t>Pablo Casado dispuesto a pactar con el Ku Klus Klan para poder “gobernar” Andalucía. Lo de que gobierne la lista más votada ya tal 🤨 #AndalucíaAntifascista</t>
  </si>
  <si>
    <t>https://pbs.twimg.com/media/DtlA5_gW4AAESDJ.jpg</t>
  </si>
  <si>
    <t>Pablo Casado bajándose los pantalones a sí mismo. Esto es glorioso. RT @publico_es: 🔴 ÚLTIMA HORA | Casado no descarta ceder consejerías a Vox para que el PP gobierne en Andalucía</t>
  </si>
  <si>
    <t>Miquel Bonet</t>
  </si>
  <si>
    <t>Tres derechas y un único zar: José María Aznar. Sólo Aznar puede dirigir estratégicamente el consorcio y ya está en ello. Pablo Casado, que fue su jefe de gabinete, le obedece. Albert Rivera le escucha. Santiago Abascal , jefe de filas de Vox, exmilitante del PP vasco, le admira. RT @StevenForti: Aconsejo la lectura de este análisis de @EnricJuliana --&gt; La debacle de la izquierda andaluza abre paso al consorcio de las derechas @lavanguardia</t>
  </si>
  <si>
    <t>https://twitter.com/StevenForti/status/1069903707804966913
http://shr.gs/kWWVpsR</t>
  </si>
  <si>
    <t>Orgull sudista</t>
  </si>
  <si>
    <t>Feminista i persona.</t>
  </si>
  <si>
    <t>http://TarragonaDigital.com</t>
  </si>
  <si>
    <t>Casado sólo ve “innegociable” que Moreno presida Andalucía y no descarta que Vox tenga consejerías  El presidente del Partido Popular, Pablo Casado, ha asegurado este martes que es “innegociable” que Juanma Moreno presida la Junta de Andalucía tras los r…</t>
  </si>
  <si>
    <t>https://ift.tt/2SqTZvP</t>
  </si>
  <si>
    <t>Begotxu</t>
  </si>
  <si>
    <t>Pues yo con Pablo Casado tengo dudas.</t>
  </si>
  <si>
    <t>https://pbs.twimg.com/media/DtlAdwwXQAATBqe.jpg</t>
  </si>
  <si>
    <t>Serán libres... o no serán!!</t>
  </si>
  <si>
    <t>El Confidencial</t>
  </si>
  <si>
    <t>moderador(@)elconfidencial.com</t>
  </si>
  <si>
    <t>El diario de los lectores influyentes como tú. Más noticias en http://facebook.com/elconfidencial.</t>
  </si>
  <si>
    <t>http://elconfidencial.com</t>
  </si>
  <si>
    <t>Musical Quotes Fb</t>
  </si>
  <si>
    <t>http://dlvr.it/Qsp6Mc</t>
  </si>
  <si>
    <t>https://pbs.twimg.com/media/Dtk_xsDV4AEjrjH.jpg</t>
  </si>
  <si>
    <t>Visita nuestra fanpage de facebook https://www.facebook.com/Musical-Quotes-197296037275004/?pnref=story</t>
  </si>
  <si>
    <t>Pablo Casado pactaría con el diablo si eso le diera poder, en el caso de Andalucía estaría dispuesto sin hacer mucho esfuerzo a ceder consejerías a VOX con los que comparte ideología ☠️ #IlegalizaciónDelPP #IlegalizaciónDeVOX</t>
  </si>
  <si>
    <t>ElNacional .cat</t>
  </si>
  <si>
    <t>El líder del PP Pablo Casado no tanca la porta a que Vox entri al govern a Andalusia</t>
  </si>
  <si>
    <t>https://www.elnacional.cat/ca/politica/pablo-casado-vox-andalusia_331431_102.html</t>
  </si>
  <si>
    <t>Última hora política i econòmica de Catalunya, Espanya i internacional. Creat per @joseantich. FB: http://facebook.com/elnacionalcat Telegram: https://t.me/Elnacionalcat</t>
  </si>
  <si>
    <t>http://www.elnacional.cat</t>
  </si>
  <si>
    <t>David Avellaneda</t>
  </si>
  <si>
    <t>Gracias a los que han votado a Vox Andalucia puede teber como consejero de justicia a un juez inhabilitado por precaricar. Pedazo de cambio</t>
  </si>
  <si>
    <t>Llegan tiempos de cambio.... pero algunas cosas nunca cambiarán</t>
  </si>
  <si>
    <t>Paco 🇪🇸</t>
  </si>
  <si>
    <t>Me ha gustado un vídeo de @YouTube ( - Pablo Casado defiende el pacto del PP con VOX).</t>
  </si>
  <si>
    <t>http://youtu.be/Xfc5MAG9JGo?a</t>
  </si>
  <si>
    <t>Español y Madridista sin complejos</t>
  </si>
  <si>
    <t>http://www.facebook.com/profile.php?id=100000549097887&amp;ref=tn_tinyman</t>
  </si>
  <si>
    <t>adriaral</t>
  </si>
  <si>
    <t>Pablo Casado asegura que “el peligroso” no es Vox, sino Podemos, “el partido más radical de la democracia”. El régimen apuesta por la extrema derecha.</t>
  </si>
  <si>
    <t>Hijo del #15M. Artesano de la comunicación y activista por el derecho a la ciudad. Por las noches hago música: http://soundcloud.com/adriaral</t>
  </si>
  <si>
    <t>Laly Quevedo Ariza</t>
  </si>
  <si>
    <t>LE DA IGUAL TODO...... QUE ASCO DAS CASADO! En @elconfidencial: Casado: "Vox tiene que decidir si tiene una posición pasiva o activa en Andalucía"</t>
  </si>
  <si>
    <t>Cordobesa, madre, socialista y culé hasta la médula. Apoyo al Pueblo Palestino y los derechos humanos. (CUENTA PERSONAL)</t>
  </si>
  <si>
    <t>The Big Farsa</t>
  </si>
  <si>
    <t>Y Pablo Casado prometiendo consejerías a Vox. Come on!!</t>
  </si>
  <si>
    <t>https://www.elperiodico.com/es/politica/20181204/exlider-ku-klux-klan-felicita-vox-elecciones-andaluzas-7183936</t>
  </si>
  <si>
    <t>La comisión de investigación sobre la aplicación del 155 cita a Sánchez, Rajoy, Puigdemont y Junqueras También citará a la exvicepresidenta del Gobierno Soraya Sáenz de Santamaría En la lista figuran asimismo Zoido y Catalá, así como el líder del PP, Pablo Casado ,!!!</t>
  </si>
  <si>
    <t>https://pbs.twimg.com/media/Dtk7ou8XgAA-rSn.jpg</t>
  </si>
  <si>
    <t>David Calvo</t>
  </si>
  <si>
    <t>Mientras en países Europeos los partidos de derechas democráticos se niegan a pactar con los partidos fascistas, nenonazis y xenófobos, en España Pablo Casado dispuesto a gobernar en coalición con ellos.</t>
  </si>
  <si>
    <t>https://m.publico.es/politica/2071195/casado-no-descarta-ceder-consejerias-a-vox-para-que-el-pp-gobierne-en-andalucia?utm_campaign=publico&amp;utm_medium=social&amp;utm_source=facebook</t>
  </si>
  <si>
    <t>Carabanchel</t>
  </si>
  <si>
    <t>Licenciado en Derecho por @unicomplutense. Jurista. #Carabanchel. Vocal vecino @PsoeCarabanchel en @JMDCarabanchel</t>
  </si>
  <si>
    <t>https://davidcalvo.wordpress.com/</t>
  </si>
  <si>
    <t>Si tenéis dudas sobre si estáis dentro o fuera de la Constitución preguntadle a Pablo Casado que es el encargado de repartir carnés. Se ruega paciencia porque ahora está muy ocupado repartiéndolos entre las filas de VOX.</t>
  </si>
  <si>
    <t>Alfilo de la Brecha</t>
  </si>
  <si>
    <t>Mirad, lo preocupados que estaban con "el cambio andaluz", que lo primero que han hablado es el reparto de las sillas.</t>
  </si>
  <si>
    <t>https://www.elconfidencial.com/elecciones-andalucia/2018-12-04/casado-no-descarta-ceder-consejerias-a-vox-en-un-gobierno-de-juanma-moreno_1685222/?fbclid=IwAR3rTdRpYH4n07y7jUkPnEwPv6LL3DlO5AjBMwqOQPgbAPrj-SMgwRbPOU8</t>
  </si>
  <si>
    <t>La ciudad mas bonita del mundo</t>
  </si>
  <si>
    <t>Antropólogo, animador sociocultural y croupier. También soy de izquierdas, activista antifascista, humorista amateur y amo los pingüinos. Miro los MD de reojo</t>
  </si>
  <si>
    <t>https://www.youtube.com/c/alfilodelabrecha</t>
  </si>
  <si>
    <t>En Blau es</t>
  </si>
  <si>
    <t>Giró hizo uno de sus peculiares análisis</t>
  </si>
  <si>
    <t>http://bit.ly/2FY0BRd</t>
  </si>
  <si>
    <t>http://www.enblau.com/es/</t>
  </si>
  <si>
    <t>Vamos, q el Ku Klux Klan y todos los líderes de la ultraderecha del mundo menos Albert Rivera y Pablo Casado han felicitado a VOX por sus resultados.</t>
  </si>
  <si>
    <t>Pablo Casado dice que Podemos es más radical que el Ku Klus Klan que por lo menos no hace batukadas... Andalucía #AndaluciaAntifascista</t>
  </si>
  <si>
    <t>JESS</t>
  </si>
  <si>
    <t>Si al final se confirma el peor de los presagios y el fascismo entra en el Gobierno de Andalucía, habrá que aplicar allí un 155 sin complejos (como dirían Pablo Casado y Albert Rivera) y aquí paz y después gloria. #PresidenciaAndaluzaARV</t>
  </si>
  <si>
    <t>De la submeseta sur. Me gusta doblar esquinas: nunca sabes lo que te vas a encontrar.</t>
  </si>
  <si>
    <t>http://www.servimedia.es</t>
  </si>
  <si>
    <t>Mara G-B</t>
  </si>
  <si>
    <t>Dice Pablo Casado que VOX aún no ha establecido su programa. 😂😂😂😂😂😂😂😂😂 Vamos, que los agradecimientos al Ku Klux Klan son mera cortesía, y la lista de NO A: Europa, Autonomías, Feminismo, Inmigración, Aborto, Restricciones de prestaciones de la S.S. etc son un borrador.</t>
  </si>
  <si>
    <t>Ciudadana del mundo</t>
  </si>
  <si>
    <t>Democracia: Gobierno del pueblo. Pueblo: Los que no gobiernan.</t>
  </si>
  <si>
    <t>De verdad hay gente que todavia diferencia a Pablo Casado y Santiago Abascal??? si son de la misma "famiglia", asi nos va.</t>
  </si>
  <si>
    <t>Teleprensa</t>
  </si>
  <si>
    <t>PSOE carga contra la comisión sobre la tesis de Sánchez en el Senado y ERC baraja pedir que declare ...  #noticias</t>
  </si>
  <si>
    <t>http://bit.ly/2AZaXKX</t>
  </si>
  <si>
    <t>Almería, España</t>
  </si>
  <si>
    <t>Twitter OFICIAL de http://TELEPRENSA.COM. Sigue en directo las noticias de tu provincia.</t>
  </si>
  <si>
    <t>http://www.teleprensa.com</t>
  </si>
  <si>
    <t>almaraqueto . cat</t>
  </si>
  <si>
    <t>Pablo Casado no entiende el programa de Vox porque no ha ido a la escuela.</t>
  </si>
  <si>
    <t>Català pura raça xarnega. Ciència, mon amour.</t>
  </si>
  <si>
    <t>Cultura de Diario de Mallorca</t>
  </si>
  <si>
    <t>Las Rozas de Madrid</t>
  </si>
  <si>
    <t>Entrevista al escritor y periodista Víctor Amela, que acaba de publicar 'Yo pude salvar a Lorca'</t>
  </si>
  <si>
    <t>Te informamos de toda la actividad cultural y artística de Mallorca y Balears. cultura@diariodemallorca.es actual.diariodemallorca@epi.es</t>
  </si>
  <si>
    <t>https://www.diariodemallorca.es/cultura/</t>
  </si>
  <si>
    <t>José Carlos Jiménez</t>
  </si>
  <si>
    <t>Muy bien la actitud de Pablo Casado, Aznar y el PP en conjunto empujando para un pacto entre PP, Cs y Vox. Lamentablemente no todos van a estar a la altura.</t>
  </si>
  <si>
    <t>Nacido en 1978 en Barcelona. Licenciado en Economía por la Universitat de Barcelona (UB). Interesado en información económica, financiera, política y social.</t>
  </si>
  <si>
    <t>El papafrita</t>
  </si>
  <si>
    <t>#PresidenciaAndaluzaARV #4deDiciembre #AndaluciaAntifascista Dice Pablo Casado que lo unico innegociable con VOX es que Moreno sea el presidente de la Junta de Andalucía. Vamos que expulsar a todos los emigrantes o abolir la ley de violencia de Genero en Andalucia es negociable</t>
  </si>
  <si>
    <t>L'Hospitalet de Llobregat</t>
  </si>
  <si>
    <t>The_Gabrich</t>
  </si>
  <si>
    <t>El día que Pablo Casado se convirtió en presidente del PP estaba Manuel Cobo en Casa Ferreras. Vicealcalde de Gallardón y (supongo) sorayista, le cambió la cara cuando salieron los resultados</t>
  </si>
  <si>
    <t>¿En el tiempo o en el espacio?</t>
  </si>
  <si>
    <t>Caótico neutral</t>
  </si>
  <si>
    <t>Otro gran logro del independentismo catalán, muy importante, han conseguido q Pablo Casado se ponga un lazo con los colores de la bandera española simulando al lazo amarillo de los independentistas. Si esto lo sumas a que han metido a VOX en las instituciones, están que se salen.</t>
  </si>
  <si>
    <t>🔴 Pablo Casado empieza a diseñar los escenarios para un posible gobierno en Andalucía y anuncia desde Madrid que lo único innegociable es la presidencia de Juanma Moreno. Arrancamos. DIRECTO:</t>
  </si>
  <si>
    <t>http://atres.red/4ncii6002</t>
  </si>
  <si>
    <t>El persimon te gusta?</t>
  </si>
  <si>
    <t>*sale Pablo Casado en la tele* Mi abuela: Yo le echaba un veneno en un vaso de agua a ese</t>
  </si>
  <si>
    <t>Barcelona - Zaragoza - Blancas</t>
  </si>
  <si>
    <t>en fin</t>
  </si>
  <si>
    <t>Barrufet Fet</t>
  </si>
  <si>
    <t>Me ha dado por mirar a ver a quién sigue el profesor siniestro este que espía a sus alumnos en instagram para adivinar lo que votan y juzgarlos públicamente y lo primero que me ha salido es Pablo Casado.</t>
  </si>
  <si>
    <t>pic.twitter.com/VR470YI5z7</t>
  </si>
  <si>
    <t>El nostre poble és el país on tot es pot fer. Si tu barrufes jo també.</t>
  </si>
  <si>
    <t>PSOE carga contra la comisión sobre la tesis de Sánchez en el Senado y ERC baraja pedir que declare Pablo Casado  vía @epnacional</t>
  </si>
  <si>
    <t>El dia de las andaluzas por la mañana Pedro Sanchez le mandaba mensajes publicos a Pablo Casado diciendo que no le iban a gustar los resultados electorales. Y Pablo Casado respondia que lo que no le gustaban eran las coaliciones de perdedores. Cambiaron las tornas para los dos</t>
  </si>
  <si>
    <t>Pablo Casado abre la puerta a compartir gobierno con Vox en Andalucía</t>
  </si>
  <si>
    <t>http://atres.red/e46qf1</t>
  </si>
  <si>
    <t>https://www.elmundo.es/espana/2018/12/03/5c05442321efa0cc3d8b46bc.html</t>
  </si>
  <si>
    <t>A ver señor del Ku Klux Klan, llame usted a Pablo Casado y a Albert Rivera que le van a explicar que VOX no es un partido fascista y que el verdadero peligro para España es Podemjajajajajajajajajajajaajaja RT @DrDavidDuke: 🔴🗳️ VOX triumphs in Andalusia! 12 seats and the end of the socialist regime 🇪🇸 #EspañaViva makes it history and shows that change is possible. The Reconquista begins in the Andalusian lands and will be extended in the rest of Spain 📣 #AndalucíaPorEspaña</t>
  </si>
  <si>
    <t>M. Jáuregui.</t>
  </si>
  <si>
    <t>"PP, Vox y C’s compiten por ver cuál es más reaccionario en lo social, guerracivilista en lo territorial, ultraliberal en lo económico y trumpista en lo migratorio."</t>
  </si>
  <si>
    <t>https://www.cuartopoder.es/ideas/2018/08/05/pablo-casado-impuesto-sucesiones-ideologia-millonario/</t>
  </si>
  <si>
    <t>Idris, Bastión de Tormentas.</t>
  </si>
  <si>
    <t>'Arte que utiliza como medio de expresión unha lingua'' Quen só xulga ás sombras, nunca verá a luz. Ícaro. 《Valar morghulis》 《Do you hear the people sing?》</t>
  </si>
  <si>
    <t>http://instagram.com/ja_jauregui</t>
  </si>
  <si>
    <t>Sexo convexo, compadre</t>
  </si>
  <si>
    <t>El 12 de noviembre, pocos días antes del comienzo oficial de la campaña, Pablo Casado anuncia para enero la convención del PP que fijará los pilares ideológicos con los que se comprometerá el partido en los futuros años y compromisos electorales'(Estrella Fernández-Martos).</t>
  </si>
  <si>
    <t>El Mundo Madrid</t>
  </si>
  <si>
    <t>"Si Pablo Casado e Inés Arrimadas no hubiera desembarcado en Andalucía, el resultado de PP y Ciudadanos no habría sido el mismo. En Madrid pasará algo similar". La opinión de Emilia Landaluce</t>
  </si>
  <si>
    <t>https://www.elmundo.es/madrid/2018/12/04/5c05763efdddffde9e8b476a.html</t>
  </si>
  <si>
    <t>Sección de Madrid de @elmundoes</t>
  </si>
  <si>
    <t>http://www.elmundo.es/madrid</t>
  </si>
  <si>
    <t>JJ(🌻🌿🌹)</t>
  </si>
  <si>
    <t>#OtroDemocrata que se esta descubriendo. Pablo Casado no descarta ceder consejerías a Vox en un Gobierno de Juanma Moreno  vía @diariosevilla</t>
  </si>
  <si>
    <t>https://www.diariodesevilla.es/_4ddd9e2a</t>
  </si>
  <si>
    <t>Sevilla, Andalucía.</t>
  </si>
  <si>
    <t>#HastaSiempreBichito. El día que entendí que lo único que me voy a llevar es lo que vivo...... Empecé a vivir lo que me quiero llevar.....</t>
  </si>
  <si>
    <t>Juan Navarro García</t>
  </si>
  <si>
    <t>En una entrevista este martes en @EspejoPublico, Moreno ha afirmado que percibe "actitudes extrañas" en Ciudadanos. El partido naranja, con 21 escaños, ha recibido la propuesta de pacto de derechas desde el PP. Pablo Casado ha negado que Vox sea "peligroso"· Imagen: @ppandaluz.</t>
  </si>
  <si>
    <t>https://pbs.twimg.com/media/DtktTkFX4AEhIVc.jpg</t>
  </si>
  <si>
    <t>Periodismo. Comunico, luego (adverbio de tiempo) existo. Fisgo qué libros lee la gente en el transporte público. Pianista en el burdel de @sexomandamiento.</t>
  </si>
  <si>
    <t>http://sexomandamiento.es</t>
  </si>
  <si>
    <t>Dice Pablo Casado que el peligroso no es VOX que quiere derogar la Ley de Violencia de Género, la Memoria Histórica y las autonomías, el peligro es de Podemos que exige una vida digna para la clase obrera. Y ESO YA NO OIGA!!!</t>
  </si>
  <si>
    <t>https://twitter.com/el_pais/status/1069585748829978626
https://bit.ly/2rjMAD0</t>
  </si>
  <si>
    <t>https://pbs.twimg.com/media/DtfukJMU0AAX7Yt.jpg</t>
  </si>
  <si>
    <t>https://pbs.twimg.com/media/DtktvWQXgAAjlqB.jpg</t>
  </si>
  <si>
    <t>Periodista</t>
  </si>
  <si>
    <t>Pedro Vozmediano</t>
  </si>
  <si>
    <t>Cuándo el Terror se viste con un traje parece menos malo de lo que es. Ahora Pablo Casado y Albert Rivera estarán orgullosos. Qué Vergüenza.</t>
  </si>
  <si>
    <t>Puertollano</t>
  </si>
  <si>
    <t>Consejo Ciudadano de Castilla la Mancha. El ser humano desvela lo mejor y peor. luchemos por lo mejor.</t>
  </si>
  <si>
    <t>pressdigital</t>
  </si>
  <si>
    <t>https://ift.tt/2QsTB2P</t>
  </si>
  <si>
    <t>Diario digital plural e independiente donde puedes informarte y participar. Síguenos en Facebook: https://www.facebook.com/pressdigitalteinforma</t>
  </si>
  <si>
    <t>http://www.pressdigital.es/</t>
  </si>
  <si>
    <t>Luzeon</t>
  </si>
  <si>
    <t>Me hace mucha gracia cómo muchos estáis obviando lo peligroso que es que VOX haya llegado al parlamento intentando hacer relucir las mentiras de Pablo Casado, cuando lleva mintiendo DESDE EL MINUTO 1 que llegó al liderazgo del PP.</t>
  </si>
  <si>
    <t>A saber.</t>
  </si>
  <si>
    <t>Mozo indomable ante el poder. Redactor y editor de telefonía y tecnología. Escritor, informático, aliado, videojuegos. Rojo, antitaurino y antifascista.</t>
  </si>
  <si>
    <t>https://historiastardias.blogspot.com.es/</t>
  </si>
  <si>
    <t>Pablo Casado abraza a su hermano de #VOX #España #PresidenciaAndaluzaARV Pd; Ferreras estás de enhorabuena</t>
  </si>
  <si>
    <t>pic.twitter.com/1Gna1GJVLn</t>
  </si>
  <si>
    <t>Pablo Casado y Albert Rivera dicen que los que subimos el salario mínimo a 900€ somos los peligrosos. Que ellos van a gobernar en Andalucía con gente muy maja cuyo líder lleva pistola y es apoyado por los que asesinan gente por el color de su piel.</t>
  </si>
  <si>
    <t>¿De la idea de Pablo Casado de refundir con Vox el centro derecha,el PP pone el centro y Vox la derecha o al contrario? Es para "centrar" ideas más que nada.</t>
  </si>
  <si>
    <t>Martin  🤖 🇵🇹 #aborigen</t>
  </si>
  <si>
    <t>Los neofascistas franceses, los neonazi alemanes, el Ku klux Klan qué buenos aliados tenéis eh @InesArrimadas @Albert_Rivera @pablo_casado</t>
  </si>
  <si>
    <t>Siervo de la gleba, alquimista de los bytes.</t>
  </si>
  <si>
    <t>Anonimísimo.</t>
  </si>
  <si>
    <t>¿Qué tal se encontraran los que llevan con la cantinela de que Podemos es lo mismo que Vox viendo que es lo que ha soltado Pablo Casado?</t>
  </si>
  <si>
    <t>Anónima.</t>
  </si>
  <si>
    <t>En mi biografía pueden observar el Starry Night de Van Gogh.</t>
  </si>
  <si>
    <t>#España Pablo Casado rechaza despenalizar la inviolabilidad del Rey y defiende prohibir indultos por rebelión y sedición @CasaReal @ahorapodemos @CiudadanosCs</t>
  </si>
  <si>
    <t>http://www.lacerca.com/noticias/espana/pp-casado-despenalizar-inviolabilidad-rey-indultos-rebelion-sedicion-447880-1.html</t>
  </si>
  <si>
    <t>Jaén, España</t>
  </si>
  <si>
    <t>enrique iglesias fan</t>
  </si>
  <si>
    <t>Pablo Heras-Casado, "Caballero de la Orden de las Artes y las Letras"  #MusicIsMyLife</t>
  </si>
  <si>
    <t>https://ift.tt/2Udo0kz</t>
  </si>
  <si>
    <t>Enamorado de la musica en general</t>
  </si>
  <si>
    <t>#ÚltimaHora El Ku Klux Klan felicita a VOX y Pablo Casado le ofrece varias Consejerias, solo falta nombrar a la momia de Franco , Presidente de la Junta de Andalucia. Seguro que habría máximo consenso en la derecha</t>
  </si>
  <si>
    <t>Giró hizo uno de sus peculiares análisis | Vía @En_Blau_es</t>
  </si>
  <si>
    <t>Barcelona, Cataluña</t>
  </si>
  <si>
    <t>Última hora política y económica de Catalunya, España e internacional. Creado por José Antich. FB http://facebook.com/elnacionalcates/ En catalán @elnacionalcat</t>
  </si>
  <si>
    <t>http://www.elnacional.cat/es/</t>
  </si>
  <si>
    <t>Marine Le Pen y el Ku Klux Klan han felicitado al partido con el que Pablo Casado va a pactar en Andalucía y el resto de España. Para que luego vayáis por ahí llamándolos fascistas y racistas.</t>
  </si>
  <si>
    <t>Millán Fernández</t>
  </si>
  <si>
    <t>A VOX felicítao o K-K-K e Marie Le Pen. Casado di que son boa xente. O líder vai armado e responsabiliza de “toda violencia futura” a Pablo Iglesias. O PSOE entra no xogo. O Rei bota un “a por ellos”. Tranquis todos, que la cosa va bien.</t>
  </si>
  <si>
    <t>Compostela-Castro Verde-Galiza</t>
  </si>
  <si>
    <t>🎗Politólogo de formación. Comunicación política. Curiosidades (física, natureza, astronomía, música, cine, viaxes, libros) Da @anovagal,📍na República Galega.</t>
  </si>
  <si>
    <t>Mario C.</t>
  </si>
  <si>
    <t>En mi humilde opinión, si el PP y Pablo Casado intentan competir contra VOX en el mismo discurso, el PP indudablemente perderá votos frente a VOX. La gente suele preferir lo auténtico a la copia. El PP debería distinguirse frente al populismo, no adoptarlo.</t>
  </si>
  <si>
    <t>Periodista. Política internacional, defensa y opiniones propias. Ovetense, asturiano, español. Pasé por Internacional en @lanuevaespana 🇪🇸</t>
  </si>
  <si>
    <t>jose garcia lopez</t>
  </si>
  <si>
    <t>El 31% de un artículo publicado por Casado está plagiado de la web del Congreso</t>
  </si>
  <si>
    <t>https://www.elplural.com/politica/pablo-casado-plagio-articulo-web-del-congreso_203304102</t>
  </si>
  <si>
    <t>José García Díaz</t>
  </si>
  <si>
    <t>Pablo Casado ofreciendo consejerías a Vox con tal de gobernar. Os imagináis a Vox al frente de las consejerías de Igualdad, Inmigración o Educación?</t>
  </si>
  <si>
    <t>Puerto Real</t>
  </si>
  <si>
    <t>Apasionado de los videojuegos, el fúbol, la música, el cine y las series. Y a veces, me enojo con la política...</t>
  </si>
  <si>
    <t>🏳️‍🌈 Ignacio G. Fenoll 🏳️‍🌈</t>
  </si>
  <si>
    <t>Dice Pablo Casado que le va a dar a VOX algunas consejerías. Espero que le dé la de Familia natural para que algunos se enteren de qué va esto de la ultraderecha. Todo apunta a que vamos a tener que defender, otra vez, nuestros derechos más elementales. #PresidenciaAndaluzaARV</t>
  </si>
  <si>
    <t>Sevilla y Granada</t>
  </si>
  <si>
    <t>MSc Ingeniero de Telecomunicación, músico, humanista. Funcionario de carrera in pectore. Me apasiona la política, la música clásica y el folclore español.</t>
  </si>
  <si>
    <t>http://instagram.com/igfenoll</t>
  </si>
  <si>
    <t>ivan armada bolasell</t>
  </si>
  <si>
    <t>sr. pablo casado si quiere una guerra la va a tener.el 40 años de la constitucion española no se va a cewlebrar porque un partido financiado por corrupcion no puede gobrenar este pais dicho por la constitucion española</t>
  </si>
  <si>
    <t>Juan Porcel</t>
  </si>
  <si>
    <t>A Pablo Casado le preguntas por el tiempo, y te contesta: ETA, Venezuela y 155.</t>
  </si>
  <si>
    <t>La PPina perjudica seriamente la salud. GRANADA CF y REAL MADRID en este orden. GRANADA. ESPAÑA. Cumpleaños 2 de mayo.</t>
  </si>
  <si>
    <t>david gonzal</t>
  </si>
  <si>
    <t>Lo dices porque no has oído a Pablo Casado, Rafa Hernando, Jordi Cañas y otros poetas españoles RT @Carmen_Lomana: @gabrielrufian Rufián tú eres lo más cutre y bajuno de nuestros políticos, me avergüenza oír lo que dices. Eres lumpen</t>
  </si>
  <si>
    <t>https://twitter.com/Carmen_Lomana/status/1069354772040437760</t>
  </si>
  <si>
    <t>Sobrino de un cangrejo ilustrado. Practicante de la pasividad aguerrida combinada con centralismo periférico.</t>
  </si>
  <si>
    <t>Una vez más, estoy de acuerdo con @PabloCasado_. Pablo Casado le sumó apoyos a @JuanMa_Moreno y sin embargo Pedro Sánchez le restó, y no poco, a Susana Díaz</t>
  </si>
  <si>
    <t>https://www.abc.es/espana/abci-casado-reforzado-y-cree-campana-freno-fuga-mayor-votos-201812040317_noticia.html</t>
  </si>
  <si>
    <t>Agus Gámez</t>
  </si>
  <si>
    <t>Pablo Casado no descarta dar consejerías a VOX a cambio de investir a Moreno Bonilla, igual están pensando darle la Consejería de igualdad y políticas sociales!!! #StopDerecha RT @elconfidencial: Casado no descarta ceder consejerías a Vox en un hipotético Gobierno de Juanma Moreno</t>
  </si>
  <si>
    <t>It's very dificult todo esto.- No me comprendes, Osgood. Soy un hombre!! - Bueno, nadie es perfecto. Andalucía 😍 Málaga💘 🌹🌹</t>
  </si>
  <si>
    <t>Pablo Casado no descarta una Junta de Andalucía con VOX en varias consejerías. Y C’s votando a favor de esto. Pero son de centro, eh. Y no van a pactar con ellos, eh. No tienen nada que ver con ellos. Te tienes que reír. #PresidenciaAndaluzaARV</t>
  </si>
  <si>
    <t>Listo Entertainment</t>
  </si>
  <si>
    <t>Todos los humanos compartimos un ancestro común. Eso significa que todos somos primos de Pablo Casado. En el mejor de los casos, primos lejanos.</t>
  </si>
  <si>
    <t>Cómics de humor, amor, sexo y cultura.</t>
  </si>
  <si>
    <t>http://listocomics.com</t>
  </si>
  <si>
    <t>JUAN-K</t>
  </si>
  <si>
    <t>Dicen por ahí que no hay mal que por bien no venga. Resulta que ahora Vox como extrema derecha ha salido a la palestra política el PP se alía con ellos sin asco y así hablan de extremista de otros partidos. Por favor! Pablo Casado el títere de Aznar. #PresidenciaAndaluzaARV</t>
  </si>
  <si>
    <t>Pablo Montesinos nos comenta que Pablo Casado va a aceptar pactar con Vox allí donde puedan, incluyendo darle consejerías.</t>
  </si>
  <si>
    <t>Pablo Casado abre la puerta a negociar con vox. Abre la puerta, dice, ¡cómo si hubiera estado cerrada alguna vez!</t>
  </si>
  <si>
    <t>Teresa perez-cepeda</t>
  </si>
  <si>
    <t>Pablo Casado ofrece, tres Consejerias de la Junta de Andalucia a Vox.</t>
  </si>
  <si>
    <t>La Coruña</t>
  </si>
  <si>
    <t>PEDRO  MG</t>
  </si>
  <si>
    <t>No me jodas, Pablo casado quiere dar algúna consejería a Vox si hubiera acuerdos? Ayyyy que Andalucía va a ser la autonomía para experimentar con Vox, la próxima vez seguid en vuestras casas en elecciones, ahora no os quejéis!!</t>
  </si>
  <si>
    <t>GRANADA</t>
  </si>
  <si>
    <t>*ORGULLOSO DE MI FAMÍLIA*</t>
  </si>
  <si>
    <t>#ÚltimaHora Pablo Casado anuncia que está dispuesto a poner Consejerias de la Junta de Andalucia en manos de VOX. Lo que sea con tal de sentar el culo</t>
  </si>
  <si>
    <t>Bernat Castro 🦊</t>
  </si>
  <si>
    <t>Pablo Casado acaba de decir que cederá consejerías de la Junta a VOX si se tercia, bienvenidos al feudalismo.</t>
  </si>
  <si>
    <t>Barcelona - Nou Barris</t>
  </si>
  <si>
    <t>He colaborado en @RAC1, @MinoriaAB, @BenTrobats, @CatalunyaRadio y @La_SER - #Comunicación 2.0 - #Martens22 - Contacto: ber.contacto@gmail.com</t>
  </si>
  <si>
    <t>http://Instagram.com/berlustinho</t>
  </si>
  <si>
    <t>Ferreras defendiendo a Vox ante el apoyo de un líder del kukus klan. Ese Nacional españolismo el amigo de Florentino Pérez. Ese Ferreras "el progresista" venga ya!! Pablo Casado es el títere de Aznar, hará lo que le diga. #PresidenciaAndaluzaARV</t>
  </si>
  <si>
    <t>Helena Crespí</t>
  </si>
  <si>
    <t>Pablo Casado en @LasMananas_rne no descarta ceder consejerías a VOX en un hipotético gobierno de Juanma Moreno</t>
  </si>
  <si>
    <t>https://pbs.twimg.com/media/DtkcXb8WkAAuq8k.jpg</t>
  </si>
  <si>
    <t>Periodista política de @rne. En campaña electoral permanente...</t>
  </si>
  <si>
    <t>Dabitxo #Belarriprest👂🏻🎗</t>
  </si>
  <si>
    <t>Pablo Casado propone a Moreno como presidente andaluz. Una pista más en el Circo de la Desestabilización dirigido desde Zarzuela</t>
  </si>
  <si>
    <t>Euskal Herriko hiriburuan</t>
  </si>
  <si>
    <t>Anti-identitario, antiposmo, libertario, abertzale, hombre, hetero, gaznápiro de puño cerrado y rodilla en tierra. Letxugino y agrocarlista. @florezika's</t>
  </si>
  <si>
    <t>http://apistonazos.wordpress.com/</t>
  </si>
  <si>
    <t>Artsurdo</t>
  </si>
  <si>
    <t>Pablo Casado defiende que el éxito de Vox en Andalucía reafirma su giro a la derecha. Perder 300.000 votos y siete diputados es signo inequívoco de éxito.</t>
  </si>
  <si>
    <t>África</t>
  </si>
  <si>
    <t>Escribo, diseño, pinto y dibujo. Me falta aprender a tocar algún instrumento y ya seré el típico bohemio.</t>
  </si>
  <si>
    <t>http://www.redbubble.com/es/people/artsurdo</t>
  </si>
  <si>
    <t>Ricardo Miranda-Naón</t>
  </si>
  <si>
    <t>Juanma Moreno: "Si Ciudadanos salva a Susana Díaz, no podrá volver a Andalucía"  vía @elmundoes @pablo casado_ El PP debería apoyar a C´s para desalojar al PSOE evitad desgaste y conseguid apoyo de Vox para C´s.</t>
  </si>
  <si>
    <t>https://www.elmundo.es/andalucia/2018/12/04/5c058a7621efa053238b470a.html</t>
  </si>
  <si>
    <t>Persona mayor.Español por decisión adulta. “Nearly all men can stand adversity, but if you want to test a man's character, give him power.” ― Abraham Lincoln</t>
  </si>
  <si>
    <t>José Luis Sastre</t>
  </si>
  <si>
    <t>“Podemos lleva fuera de la Constitución varios años”, ha dicho Pablo Casado.</t>
  </si>
  <si>
    <t>Valencia, Comunidad Valenciana</t>
  </si>
  <si>
    <t>raffa ávila</t>
  </si>
  <si>
    <t>Pablo Heras-Casado ha sido distinguido como ‘Caballero de la Orden de las Artes y las Letras’ del gobierno francés Enhorabuena paisano @herascasado @FestivalGranada Foto: @Teatro_Real</t>
  </si>
  <si>
    <t>https://pbs.twimg.com/media/DtkR7FpWoAEDWKR.jpg</t>
  </si>
  <si>
    <t>Madrid Granada غَرناطة مادريد</t>
  </si>
  <si>
    <t>PhD Student at UC3M. Journalist &amp; TV reporter (2Fs) #Arte y #Fotografía en @EAG_oficial #Política y #Sociología en @canalUGR #Periodismo en @uc3m</t>
  </si>
  <si>
    <t>https://www.instagram.com/raffa_avila</t>
  </si>
  <si>
    <t>Palma de Mallorca</t>
  </si>
  <si>
    <t>Pablo Casado y Albert Rivera volver al pasado le llaman cambio.</t>
  </si>
  <si>
    <t>Pablo Cantabria</t>
  </si>
  <si>
    <t>"Estamos como una moto". Pablo Casado, político y filósofo.</t>
  </si>
  <si>
    <t>La Tierruca</t>
  </si>
  <si>
    <t>Cántabro. Por una España y una Iberia republicana y de izquierdas.💢🇵🇱 💚 Deja vivir.</t>
  </si>
  <si>
    <t>https://cantabrisimo.wordpress.com/</t>
  </si>
  <si>
    <t>❗ La comisión también llama a comparecer a Carmen Calvo, Sáenz de Santamaría, Zoido o Pablo Casado</t>
  </si>
  <si>
    <t>https://www.publico.es/politica/articulo-155-parlament-catalan-cita-comparecer-sanchez-rajoy-puigdemont-junqueras-comision-155.html?utm_source=twitter&amp;utm_medium=social&amp;utm_campaign=publico</t>
  </si>
  <si>
    <t>暗Ｌｉｎｋｅｔｏ殴</t>
  </si>
  <si>
    <t>Mi ex-tutor de TFMs, en su época de diputado en el congreso, ya había oído decir cosas a Pablo Casado por lo bajini que eran directamente propias de un nazi.</t>
  </si>
  <si>
    <t>your area</t>
  </si>
  <si>
    <t>inadaptadx</t>
  </si>
  <si>
    <t>http://dejaecritt.wordpress.com</t>
  </si>
  <si>
    <t>Txus</t>
  </si>
  <si>
    <t>Pablo Casado, portavoz de Vox, dice que este partido no es tan malo como lo pintamos, y mucho menos si se compara con Podemos, que es peor que el panga.</t>
  </si>
  <si>
    <t>Observo atentamente la actualidad y opino de ella sin demasiado filtro. Amor, ironía de brocha gorda, música y otras artes. En definitiva, más de lo mismo.</t>
  </si>
  <si>
    <t>Maider A.E.</t>
  </si>
  <si>
    <t>Pablo Casado: “El PP es el partido de la honestidad” #jódeteybaila</t>
  </si>
  <si>
    <t>🎬Productora de audiovisuales y espectáculos en busca de un futuro. Novata en twitter, me gusta disparar 📷 y no entiendo el mundo sin queso ni chocolate.</t>
  </si>
  <si>
    <t>David Gutiérrez</t>
  </si>
  <si>
    <t>Es más importante con que medio tenía apalabrado Pablo que el motivo de su visita a Coruña...¿Vino Casado, Feijóo, Sanchez o Naranjito? Pues eso... RT @NoelaBao: Oféndennos os vetos en hoteis, pero Pablo Iglesias vén á Coruña, convocan só a quen interesa e aínda hai que aplaudir. Non vaia ser que alguén pregunte algo que non estea no guión.</t>
  </si>
  <si>
    <t>https://twitter.com/NoelaBao/status/1069570105128955904</t>
  </si>
  <si>
    <t>Coleccionista de figuras, del Deportivo de la Coruña. Fanático de Dragon Ball, One Piece...Otaku. Ourensano de nacimiento y coruñes de adopción.</t>
  </si>
  <si>
    <t>🇮🇨MISTER Palabroto Acido      💯MAS👹😈 QUE 😇😇</t>
  </si>
  <si>
    <t>Hola Pablo Casado. La lista más votada ¿ cómo va ese proyecto de ley ? #LaListaMasVotada #ProyectoDeLey</t>
  </si>
  <si>
    <t>Donde me dejan365</t>
  </si>
  <si>
    <t>🇮🇨No sé porqué! Veo informativos, y mi ansia es twitear (NO SÉ DODE ESTOY)Pero sé que es.. #MuuuuuuuuuuuPeroQueMuuuuuuuuuuuJalaoPaLaIzquierda.</t>
  </si>
  <si>
    <t>Rafa-el</t>
  </si>
  <si>
    <t>Si tu novio: - Es subnormal No es tu novio, es: - Pablo Casado</t>
  </si>
  <si>
    <t>Introductor del gotelé en este país.</t>
  </si>
  <si>
    <t>David Enguita</t>
  </si>
  <si>
    <t>La Comunidad de Madrid junto con los representantes de la Asamblea de Madrid y Ayuntamiento celebran #40AñosDeConstitución con la presencia de Pablo Casado como único líder nacional</t>
  </si>
  <si>
    <t>https://pbs.twimg.com/media/DtkGOMEW0AAccgc.jpg</t>
  </si>
  <si>
    <t>Periodista en @tribusocultas y http://www.soy-de.com Presentador @mxmadrid_tv 🏳️‍🌈 @APLGTB 📩 rrssdavidenguita@gmail.com</t>
  </si>
  <si>
    <t>https://www.instagram.com/davidenguita/</t>
  </si>
  <si>
    <t>Antonio Martínez Ron</t>
  </si>
  <si>
    <t>1. El plan de Pablo Casado respecto a Vox ---&gt; A. Crías y alimentas al lobo B. Dejas que la gente se asuste con el lobo C. Te ofreces como el único capaz de controlar al lobo 💪🏻🐺</t>
  </si>
  <si>
    <t>Periodista y divulgador científico. Escribo libros y provoco explosiones. Autor de @ojodesnudo</t>
  </si>
  <si>
    <t>https://es.wikipedia.org/wiki/Antonio_Mart%C3%ADnez_Ron</t>
  </si>
  <si>
    <t>Vichelocrego</t>
  </si>
  <si>
    <t>Has hablado con Pablo Casado últimamente? Quizás bajando su medicación se olvida de pactar con VOX. RT @bsemper: Convendría un poco de pausa. La política haría bien ralentizando un poco y sosegando. Una carrera por encender los ánimos como si no hubiera un mañana (y lo hay) es un mal negocio.</t>
  </si>
  <si>
    <t>https://twitter.com/bsemper/status/1069702485378560002</t>
  </si>
  <si>
    <t>The Original Shouty Spaniard. Proud commie. Likes big butts, can't deny. METAAAAAAL! Negasonic Middle Aged Warhead, Aprendiz de padre, Edena Ruh, Ornitorrinco</t>
  </si>
  <si>
    <t>Javier Gallego Crudo</t>
  </si>
  <si>
    <t>"Pablo Casado le ha hecho el juego a Vox, ha legitimado su discurso y los ha blanqueado durante toda la campaña", @juanlusanchez en</t>
  </si>
  <si>
    <t>http://www.carnecruda.es</t>
  </si>
  <si>
    <t>https://pbs.twimg.com/media/DtkEKNsW0AEx-P3.jpg</t>
  </si>
  <si>
    <t>República Independiente</t>
  </si>
  <si>
    <t>Cuenta del programa de radio y su director. Autor de #ComoSiNuncaHubieranSido, #ElGritoEnElCielo, #AboliciónDeLaPenaDeMuerte. Colaborador @eldiarioes. Batería.</t>
  </si>
  <si>
    <t>Andress Mca</t>
  </si>
  <si>
    <t>La ideología ultra de Santiago Abascal no es tan diferente de la de Pablo Casado o Albert Rivera...</t>
  </si>
  <si>
    <t>SEVILLA</t>
  </si>
  <si>
    <t>Salou, España</t>
  </si>
  <si>
    <t>El KKK felicitando a Vox. Ya verás cuando se enteren Pablo Casado y albert Rivera. #CautivoxLaCafetera RT @DrDavidDuke: 🔴🗳️ VOX triumphs in Andalusia! 12 seats and the end of the socialist regime 🇪🇸 #EspañaViva makes it history and shows that change is possible. The Reconquista begins in the Andalusian lands and will be extended in the rest of Spain 📣 #AndalucíaPorEspaña</t>
  </si>
  <si>
    <t>Diego Urteaga</t>
  </si>
  <si>
    <t>Pablo Casado no ha logrado nada, salvo perder 7 escaños. RT @ecd_: Ojo, que Pablo Casado tiene suerte...</t>
  </si>
  <si>
    <t>https://twitter.com/ecd_/status/1069889481120063488
http://somosecd.com/61gba4</t>
  </si>
  <si>
    <t>Political Science &amp; International Relations | Vladivostok Magazine Co-Founder | Valor Europa President | Manchego, Español y Europeo</t>
  </si>
  <si>
    <t>http://www.vladivostokmag.com</t>
  </si>
  <si>
    <t>http://somosecd.com/61gba4</t>
  </si>
  <si>
    <t>http://dlvr.it/Qsn7XL</t>
  </si>
  <si>
    <t>https://pbs.twimg.com/media/DtkCqCeVAAAdIhm.jpg</t>
  </si>
  <si>
    <t>Ὀδυσσεύς</t>
  </si>
  <si>
    <t>Pablo Casado, mintiendo!! No sé que más me queda por ver ... RT @rosamariaartal: Pablo Casado no ve nada problemático en Vox y sin embargo sí en Podemos. A quien con su cinismo habitual acusa de haber defendido el historial asesino etarra. Eso es mentira y dejar que Casado lo suelte sin ninguna réplica es desinformar con todas las letras. @telediario_tve</t>
  </si>
  <si>
    <t>https://twitter.com/rosamariaartal/status/1069686510243512320</t>
  </si>
  <si>
    <t>https://pbs.twimg.com/media/DthKNJfWoAEpNK8.jpg</t>
  </si>
  <si>
    <t>Ells també van pensar-se invulnerables No oblidem!! #JosócCDR</t>
  </si>
  <si>
    <t>Berto1926</t>
  </si>
  <si>
    <t>a mi esto me hace gracia, porque podia estar hablando de Susana díaz, de pablo casado o de santi abascal por ejemplo. parásitos que llevan toda la puta vida sin dar palo al agua RT @TheAdrianKing: Manuel, 33 años, estudiante, vive con sus padres, cero días cotizados a la seguridad social, ayer no pudo ir a votar paso el dia jugando al fornite, hoy sube una historia en Instagram en la manifestación "luchando contra el fascismo"</t>
  </si>
  <si>
    <t>https://twitter.com/TheAdrianKing/status/1069703140478472192</t>
  </si>
  <si>
    <t>Oviedo, España</t>
  </si>
  <si>
    <t>nieto,hijo,padre,hermano y marido de oviedistas.Solo pido salud y ver a mi hija crecer. SOLO OVIEDO</t>
  </si>
  <si>
    <t>Pablo Casado blanquea a Vox como primer paso para "refundir el centroderecha"  vía @elmundoes</t>
  </si>
  <si>
    <t>¿Por qué Casado y Rivera son dos clones? La hilarante teoría de Marc Giró en TV3. Vía @En_Blau_es</t>
  </si>
  <si>
    <t>https://www.elnacional.cat/enblau/es/television/pablo-casado-albert-rivera-esta-passant-marc-giro-vestidos-iguales_331281_102.html</t>
  </si>
  <si>
    <t>José Apezarena</t>
  </si>
  <si>
    <t>Editor de El Confidencial Digital. Pamplona. Periodista Univ. Navarra. Trabajos: Europa Press, Ya, COPE, Expansión, La Gaceta. Libros: El Príncipe</t>
  </si>
  <si>
    <t>http://www.elconfidencialdigital.com</t>
  </si>
  <si>
    <t>¿Por qué Casado y Rivera son dos clones? La hilarante teoría de Marc Giró en TV3</t>
  </si>
  <si>
    <t>Pablo Casado: "Estamos como una moto"  Informa @mjguemes</t>
  </si>
  <si>
    <t>http://cadenaser.com/ser/2018/12/04/politica/1543911105_662992.html</t>
  </si>
  <si>
    <t>Cuenta con la SER. Pase lo que pase.</t>
  </si>
  <si>
    <t>http://cadenaser.com/</t>
  </si>
  <si>
    <t>El líder del PP, Pablo Casado, cree que los resultados en Andalucía ratifican su estrategia de vuelta a “las esencias”. Casado defiende que el éxito de Vox en Andalucía reafirma su giro a la derecha  vía @elpais_espana</t>
  </si>
  <si>
    <t>https://elpais.com/politica/2018/12/03/actualidad/1543865581_428659.html?id_externo_rsoc=TW_CC</t>
  </si>
  <si>
    <t>Machistófeles.</t>
  </si>
  <si>
    <t>Pablo Casado encargando trajes de Hugo Boss a ver si así pilla cacho.</t>
  </si>
  <si>
    <t>R'lyeh</t>
  </si>
  <si>
    <t>Yo convencí a George Lucas de que Jar Jar Binks era una buena idea.</t>
  </si>
  <si>
    <t>R-Evolución</t>
  </si>
  <si>
    <t>Pablo Casado en las siguientes elecciones va a estar Cara al@ñ Sol todo el rato</t>
  </si>
  <si>
    <t>no son los rebeldes del mundo los que crean los problemas, son los problemas del mundo los que crean los rebeldes</t>
  </si>
  <si>
    <t>http://www.luchaantignorancia.com</t>
  </si>
  <si>
    <t>Jordi Peña Salvador</t>
  </si>
  <si>
    <t>Pablo Casado: "Estamos como una moto"</t>
  </si>
  <si>
    <t>http://cadenaser.com/ser/2018/12/04/politica/1543911105_662992.html#?ref=rss&amp;format=simple&amp;link=link</t>
  </si>
  <si>
    <t>Europa</t>
  </si>
  <si>
    <t>Comunicador, speaker, blogger, locutor, informático, creador audiovisual y community manager</t>
  </si>
  <si>
    <t>http://jordipsalvador.info</t>
  </si>
  <si>
    <t>Xabi</t>
  </si>
  <si>
    <t>Ha estudiado en el mismo instituto q Pablo Casado? RT @publico_es: - ¿Fue una dictadura el franquismo sí o no? - Pues, yo creo que no La respuesta de Eugenio Moltó, el diputado de Vox por Málaga Vía @Tremending</t>
  </si>
  <si>
    <t>https://twitter.com/publico_es/status/1069561636871057409
https://www.publico.es/tremending/2018/11/28/elecciones-andalucia-2018-el-numero-uno-de-vox-por-malaga-y-exmiembro-del-pp-cree-que-el-franquismo-no-fue-una-dictadura/?utm_source=twitter&amp;utm_medium=social&amp;utm_campaign=publico</t>
  </si>
  <si>
    <t>Antiespecista, feminista, republicano y antifascista. La dignidad siempre es lucha. La lucha es siempre dignidad.</t>
  </si>
  <si>
    <t>Miguel Angel Lozano</t>
  </si>
  <si>
    <t>A Vox no lo están legitimando sus resultados electorales o su llegada a algún gobierno, lo legitima Pablo Casado cuando afirma compartir con ellos “muchas ideas”... Con actitud "extremista y antidemocrática" . RT @PeaLeopoldo: La viñeta de hoy...”El PP y su garrapata “ ⁦@Zaparrastroso1⁩ ⁦@SanderLadetu⁩ ⁦@CuMadruga2⁩ ⁦@belkike⁩</t>
  </si>
  <si>
    <t>https://twitter.com/PeaLeopoldo/status/1069868118682558465</t>
  </si>
  <si>
    <t>https://pbs.twimg.com/media/DtjvYMTWkAA7w4K.jpg</t>
  </si>
  <si>
    <t>Acritor</t>
  </si>
  <si>
    <t>Casado defiende que el éxito de Vox en Andalucía reafirma su giro a la derecha. Yo siempre he pensado, que Pablo Casado tendría que haber sido emperador.</t>
  </si>
  <si>
    <t>https://elpais.com/politica/2018/12/03/actualidad/1543865581_428659.html</t>
  </si>
  <si>
    <t>Yayotwittero ft. La Poyuela desarmando el nido que hay montado por aquí.</t>
  </si>
  <si>
    <t>Maria💛🎗💫💜</t>
  </si>
  <si>
    <t>Alberto Rivera estuvo en el PP, Santiago Abascal estuvo en el PP y Pablo Casado está en el PP. Són los mismos con publicidad engañosa. La santísima fachatrinidad, con la bendición de la iglesia, por supuesto.</t>
  </si>
  <si>
    <t>Republicana. Conscient dels meus orígens. Defensora del meu païs I de la meva cultura. Anhelant I lluitant per una Catalunya Lliure, amb la GENT.</t>
  </si>
  <si>
    <t>Raúl Ponce</t>
  </si>
  <si>
    <t>«Sólo Aznar puede dirigir estratégicamente el consorcio y ya está en ello. Pablo Casado le obedece. Albert Rivera le escucha. Santiago Abascal , jefe de filas de Vox, exmilitante del PP vasco, le admira» @EnricJuliana. Aznar nunca se fue.</t>
  </si>
  <si>
    <t>https://www.lavanguardia.com/politica/20181204/453328510461/elecciones-andaluzas-pp-cs-vox-pacto-susana-diaz.html</t>
  </si>
  <si>
    <t>Alcalá del Júcar, Albacete</t>
  </si>
  <si>
    <t>Estudiante de Ciencias Políticas. UCM.</t>
  </si>
  <si>
    <t>Pablo Casado, como Santiago Abascal, son dos vividores que no han dado un palo al agua en su vida y que han vivido de la política desde que tienen uso de razón. #CautivoxLaCafetera</t>
  </si>
  <si>
    <t>Nick Clarke</t>
  </si>
  <si>
    <t>Pablo Casado hablando de Vox y pactar con los de un ‘proyecto común’. Su ‘madre mía’ off mic demuestra que hasta él mismo se dio cuenta de lo peligroso que es hablar así.</t>
  </si>
  <si>
    <t>I'd like to drop my trousers to the Queen. Family. Music. EFC. Beer. Easy :)</t>
  </si>
  <si>
    <t>http://imusicate.com</t>
  </si>
  <si>
    <t>Alcalá de Henares</t>
  </si>
  <si>
    <t>Víctor Núñez Díaz</t>
  </si>
  <si>
    <t>"El Viejo Mundo, en definitiva, se ve superado por los dominios de Felipe II que, por fin, se confundirán con los límites del propio orbe"</t>
  </si>
  <si>
    <t>https://www.elespanol.com/opinion/tribunas/20181128/pablo-casado-enormidad-espana/356584339_12.html</t>
  </si>
  <si>
    <t>Positively 4th Street</t>
  </si>
  <si>
    <t>Aprendiendo.</t>
  </si>
  <si>
    <t>https://www.youtube.com/channel/UCLKNedDQrafEdvmL0mas3eg</t>
  </si>
  <si>
    <t>♦Agustín Lesta</t>
  </si>
  <si>
    <t>Con éste es con él que quiere pactar Pablo Casado🙈 RT @FSerranoCastro: Desde luego lo que no hay son mujeres liberales que se proclamen putas, brujas y bolleras.Eso está reservado para piojosas d ultraizquierda</t>
  </si>
  <si>
    <t>LCG🛫MAD🛬LCG🛫MAD🛬LCG</t>
  </si>
  <si>
    <t>Ciudadano coruñés, fundador de @chamberibranqui. #EMDB Digital Business en @esadeExed. Análisis sectorial en @informa y profe en la @urjc</t>
  </si>
  <si>
    <t>Pablo Casado, de momento ya son dos los partidos de un cierto tamaño que piden reducir o...</t>
  </si>
  <si>
    <t>https://www.elconfidencial.com/espana/2018-12-03/elecciones-andalucia-pp-junta-casado-rivera-abascal-pactos_1683910/?utm_source=facebook&amp;utm_medium=social&amp;utm_campaign=BotoneraWeb</t>
  </si>
  <si>
    <t>Pedro Vallín</t>
  </si>
  <si>
    <t>"Tres derechas y un único zar: José María Aznar. Pablo Casado, que fue su jefe de gabinete, le obedece. Albert Rivera le escucha. Santiago Abascal , jefe de filas de Vox, exmilitante del PP vasco, le admira". El Consorcio, by @EnricJuliana</t>
  </si>
  <si>
    <t>Jesús María Sánchez</t>
  </si>
  <si>
    <t>Pablo Casado: - No se puede gobernar con 85 diputados. Andalucía 26 diputados. - No se puede gobernar con extremistas. Quiere gobernar con VOX (fascistas) - Hay que dejar gobernar a la lista más votada, excepto en Andalucía, que mejor gobierne la segunda. Y así, todo...</t>
  </si>
  <si>
    <t>Papá de Candela y Daniela. Andaluz del mundo, viajero, socialista. Ambientólogo de paso por @fomentoand. Researcher on sustainability indicators @pablodeolavide</t>
  </si>
  <si>
    <t>ÆPasión por EspañaÆ</t>
  </si>
  <si>
    <t>#españaesuna #stopUE #stopLGTB ¡ Que no ten engañen !. Nuevo video LibertadDigital: Pablo Casado defiende el pacto del PP con VOX</t>
  </si>
  <si>
    <t>https://youtu.be/Xfc5MAG9JGo</t>
  </si>
  <si>
    <t>Nacional-Sensacionalistas de extrema necesidad #EspañaEsUna #stopUE #stopOTAN #stopSionismo #stopGlobalizacion #stopInmigracion #stopIslam #stopFemimarxismo</t>
  </si>
  <si>
    <t>http://xn--pasionxespaa-khb.es</t>
  </si>
  <si>
    <t>Alex</t>
  </si>
  <si>
    <t>Al igual que la culpa de perder las elecciones andaluzas es de Susana Díaz y no de Sanchez el liderar el supuesto cambio no es gracias a Pablo casado sino a JuanMa Moreno. Que no ha ganado nada! Si no perdido 7 escaños. #EleccionesAndalucía</t>
  </si>
  <si>
    <t xml:space="preserve">CaciqueLuisTown </t>
  </si>
  <si>
    <t>De todo lo que, en el mundo, yo he amado es la política, un artista y a tí. ¡¡¡¡CUENTA PERSONAL!!!! #PasionPorTorrejón</t>
  </si>
  <si>
    <t>http://LoVamosViendo.com</t>
  </si>
  <si>
    <t>Pablo Casado blanquea a Vox como socio para "refundir el centroderecha"</t>
  </si>
  <si>
    <t>Pablo Casado ha hecho suyo el programa electoral de VOX. ¿Podemos ya decir que el Partido Popular es un partido fascista, o todavía no? #CautivoxLaCafetera</t>
  </si>
  <si>
    <t>- DeiviTron -</t>
  </si>
  <si>
    <t>- A ver, pregunta de quesito: ¿De quién es la famosa frase "Estos son mis principios, si no le gustan tengo otros"? - De Pablo Casado y Albert Rivera</t>
  </si>
  <si>
    <t>Lost Woods</t>
  </si>
  <si>
    <t>Prototipo. Friki insondable de inocencia incurable. Tuiteo mis mierdas y fotos de mi gatita sin contemplaciones</t>
  </si>
  <si>
    <t>https://www.instagram.com/chufathepoet/</t>
  </si>
  <si>
    <t>¿Cómo puede ser que me bloquee el profe rojo y no me bloquee Pablo Casado? 💔</t>
  </si>
  <si>
    <t>Elecciones andaluzas: Pablo Casado blanquea a Vox como socio para "refundir el centroderecha" | España</t>
  </si>
  <si>
    <t>“Podemos ha defendido la historia criminal de ETA" “Vox es un movimiento transversal” Este es Pablo Casado. Centro-derecha moderada</t>
  </si>
  <si>
    <t>Andres Fernandez</t>
  </si>
  <si>
    <t>OPINIÓN | Las mentiras de Pablo Casado sobre el golpe, la Gürtel o la guerra de Irak, por Ignacio Escolar, @iescolar  vía @iescolar</t>
  </si>
  <si>
    <t>https://m.eldiario.es/_316622b4</t>
  </si>
  <si>
    <t>Tras las elecciones en Andalucía, Pablo Casado ha decidido asumir (excepto cargarse las autonomías) todo el programa electoral de Vox. T O D O. Vamos, que votar Partido Popular es votar Vox. 👌</t>
  </si>
  <si>
    <t>No ni na</t>
  </si>
  <si>
    <t>Las andaluzas ya son 'historia': Pablo Casado comienza a designar candidatos con las miradas en Madrid.</t>
  </si>
  <si>
    <t>http://ow.ly/mgAh30mQYhg</t>
  </si>
  <si>
    <t>HispaOpera</t>
  </si>
  <si>
    <t>Pablo Heras-Casado, distinguido como Caballero de la Orden de las Artes y las Letras de Francia ()</t>
  </si>
  <si>
    <t>https://youtu.be/hCHzzWCaOUQ</t>
  </si>
  <si>
    <t>http://plateamagazine.com
https://www.plateamagazine.com/noticias/5746-pablo-heras-casado-distinguido-como-caballero-de-la-orden-de-las-artes-y-las-letras-de-francia</t>
  </si>
  <si>
    <t>¿Necesitas una web o un social media manager? Servicios Web profesionales para artistas líricos - #opera #lírica #web #SocialMedia #masoperaentv</t>
  </si>
  <si>
    <t>http://www.hispaopera.com</t>
  </si>
  <si>
    <t>Mundiario.com</t>
  </si>
  <si>
    <t>Pablo Casado y Albert Rivera cambian los argumentos después del 2-D👇 ... vía @mundiario</t>
  </si>
  <si>
    <t>Desde España (Ñ/UE) y América</t>
  </si>
  <si>
    <t>Primer periódico global de análisis y opinión. Más de 500 autores de 25 países.</t>
  </si>
  <si>
    <t>http://mundiario.com</t>
  </si>
  <si>
    <t>lady luck</t>
  </si>
  <si>
    <t>si políticos como pablo casado han llegado donde han llegado, yo puedo conseguir lo q quiera 🤩🤩🤩</t>
  </si>
  <si>
    <t>Moralzarzal 📍</t>
  </si>
  <si>
    <t>PABLO CASADO !! UN POLITICO DE NIVEL TERCERMUNDISTA... DEJA AL DESCUBIERTO SUS DEFECTOS MENTALES. !!</t>
  </si>
  <si>
    <t>http://cadenaser.com/ser/2018/11/30/politica/1543613809_281010.html?ssm=fb</t>
  </si>
  <si>
    <t>serenade</t>
  </si>
  <si>
    <t>Pablo Casado es un mamarracho y un niñato. Su planta lo canta a leguas</t>
  </si>
  <si>
    <t>https://twitter.com/pablocasado_/status/988396811449786368</t>
  </si>
  <si>
    <t>pic.twitter.com/gliYH5v5Zu</t>
  </si>
  <si>
    <t>Profesor jubilado . Rebelaos porque es tan necesario rebelarse como sentirse vivo (Nietzsche ) no respondo a perfiles sin rostro</t>
  </si>
  <si>
    <t>Castro Urdiales</t>
  </si>
  <si>
    <t>PP: ¿Cuándo van a disolver su Organización Criminal para Delinquir CONDENADA? Sr. Pablo Casado (o Pasado por lo rancio de sus propuestas) tenga dignidad y vergüenza, haga caso a los jueces y disuelva su Organización Criminal para Delinquir.</t>
  </si>
  <si>
    <t>Castro-Urdiales, España</t>
  </si>
  <si>
    <t>Si me sigues, te sigo😂 Si NO lo haces, TÚ te lo pierdes.... Para los TROLLS, sólo respondo a aquellos con = n° o más de seguidores que yo. ♀️ y con CARNET</t>
  </si>
  <si>
    <t>Maximino Alvarez</t>
  </si>
  <si>
    <t>Por Iñigo Sáenz Pablo Casado ha decidido que la ultraderecha es un socio legítimo y natural para llegar al poder, alejándose de la defensa férrea de la democracia liberal hecha por la derecha alemana y francesa.</t>
  </si>
  <si>
    <t>https://www.eldiario.es/zonacritica/PP-apuesta-extrema-derecha-Moncloa_6_842075804.html</t>
  </si>
  <si>
    <t>Asturias España</t>
  </si>
  <si>
    <t>Un tevergano de un pueblín perdido entre las montañas astures, en busca de un mundo más justo.</t>
  </si>
  <si>
    <t>Ricardo</t>
  </si>
  <si>
    <t>Casado, en 2016: “Debe gobernar la lista más votada porque los ciudadanos deciden con su voto”</t>
  </si>
  <si>
    <t>Freak, Geek, empleado público, sindicalista, socialista, profesor, RRPP y muchas cosas más! Valar morgulis!</t>
  </si>
  <si>
    <t>Xoan Xoan</t>
  </si>
  <si>
    <t>💥💥de Andalucía: “Queremos que gobierne la lista más votada” 👉👉El PP lleva años cargando contra el “pacto de perdedores” de PSOE y Podemos #PSOETUFUTURO #GPEDROSC</t>
  </si>
  <si>
    <t>https://www.elplural.com/politica/pablo-casado-debe-gobernar-la-lista-mas-votada-porque-los-ciudadanos-deciden-con-su-voto_207439102?fbclid=IwAR02O4_DtY_I7CbHDCOfjhHmf1qDx0YQhK5Y0hRFw4gsapvuJVAFQ5OQeaM</t>
  </si>
  <si>
    <t>Soy fiel al PSOE, a mi SG Pedro Sánchez, así como a su equipo...</t>
  </si>
  <si>
    <t>caverna cúbica</t>
  </si>
  <si>
    <t>Dice Pablo Casado que VOX es el partido de Ortega Lara... ¿Y? Ortega Lara es ultra y punto</t>
  </si>
  <si>
    <t>Pienso, hablo, escucho, miro, vivo... y pinto 'por amor al arte'</t>
  </si>
  <si>
    <t>http://www.sergiocases-artstudio.com</t>
  </si>
  <si>
    <t>Carme Porta #Josietcrec🎗</t>
  </si>
  <si>
    <t>Sentir Pablo Casado... Fa Voxmitar! #alguhohaviadedir</t>
  </si>
  <si>
    <t>Mare,treballadora,feminista,socialista, independentista,muntanyenca, animalista,activista LGTBI. Mi origen, #Aragón #comunicacio #RendaBàsica @referendumpacte</t>
  </si>
  <si>
    <t>http://carmeporta.bloc.cat/</t>
  </si>
  <si>
    <t>"Quizás al PP le iría mejor si se convenciese de que le han castigado más por sus virtudes que por sus defectos". Sobre los resultados de las #EleccionesAndaluzas y el rumbo que debe tomar la formación de Pablo Casado reflexiona @ferrancab en #elSubjetivo</t>
  </si>
  <si>
    <t>http://bit.ly/2BMQaf4</t>
  </si>
  <si>
    <t>Fernando.</t>
  </si>
  <si>
    <t>Me gustó un video de @YouTube  La opinión de Pablo Casado sobre feminismo: "El colectivismo no es bueno, soy</t>
  </si>
  <si>
    <t>http://youtu.be/EsMSF3vX-Do?a</t>
  </si>
  <si>
    <t>Mèxico. Tacos.. :) ♡ ♥</t>
  </si>
  <si>
    <t>Luis | 19 Años | 1.74 m. :D ♡ ❤ ♡ ♂</t>
  </si>
  <si>
    <t>https://www.facebook.com/Ferts54</t>
  </si>
  <si>
    <t>Cambio16</t>
  </si>
  <si>
    <t>La sorpresa de la noche resultó ser Vox, al quedarse con 12 de los 109 escaños, llega en un momento clave de disputa entre las organizaciones de Pablo Casado y Albert Rivera</t>
  </si>
  <si>
    <t>http://ow.ly/dmJt30mQK7p</t>
  </si>
  <si>
    <t>https://pbs.twimg.com/media/Dti9wy4WsAAUgXC.jpg</t>
  </si>
  <si>
    <t>Cuenta oficial | Revista y Web Cambio16 | Noticias de actualidad y análisis sobre España y el mundo contadas con contundencia.</t>
  </si>
  <si>
    <t>http://www.cambio16.com</t>
  </si>
  <si>
    <t>Borja Adsuara Varela</t>
  </si>
  <si>
    <t>Tanto Albert Rivera como Santiago Abascal proceden del PP. Pablo Casado tiene el reto de volver a 'unir' las distintas familias de la derecha, como hizo Aznar en su momento. ¿Lo conseguirá? En @elconfidencial</t>
  </si>
  <si>
    <t>https://www.elconfidencial.com/espana/2018-12-03/elecciones-andalucia-pp-junta-casado-rivera-abascal-pactos_1683910/?utm_source=twitter&amp;utm_medium=social&amp;utm_campaign=BotoneraWeb</t>
  </si>
  <si>
    <t>Profesor, Abogado y Consultor. Experto en Derecho, Estrategia y Comunicación Digital. #S1CPI #Autocontrol #DPDs @espana_digital @igfspain @ADEI_Obs y @ENATIC1</t>
  </si>
  <si>
    <t>http://borja.adsuara.es</t>
  </si>
  <si>
    <t>Este es un mensaje para Pablo Casado. Para ser de centro hay que demostrarlo, no sólo llamar bolivarianos a la izquierda, si pactas con la ultraderecha no eres de centro. Y bueno, como se que no lo va a leer, solo añadir que el centro no existe.</t>
  </si>
  <si>
    <t>♿</t>
  </si>
  <si>
    <t>Y Pablo Casado lo ha dicho... Emmmm... Ah sorpresa ¡0 veces! RT @JosPastr: Susana Díaz ha dicho "extrema derecha" 80.000 veces durante la campaña y 85.000 veces ahora en cinco minutos. Debe de pensar que le ha funcionado la estrategia.</t>
  </si>
  <si>
    <t>https://twitter.com/JosPastr/status/1069353322644148224</t>
  </si>
  <si>
    <t>Tsu, Singapur</t>
  </si>
  <si>
    <t>Relación amor-odio con Pokémon desde que tengo existencia. Consejo: Tomarse Twitter MUY en serio</t>
  </si>
  <si>
    <t>Pablo Casado defiende el pacto del PP con VOX- Libertad Digital | Versión Móvil (mobile)</t>
  </si>
  <si>
    <t>https://tv.libertaddigital.com/videos/2018-12-03/pablo-casado-defiende-el-pacto-del-pp-con-vox-6067298.html</t>
  </si>
  <si>
    <t>Jesus BenayasBermejo</t>
  </si>
  <si>
    <t>Nuevo desprecio de la reina Letizia a Casado y el PP, esto ya es inaudito. Definitivamente lo de esta niñata es para hacérselo mirar. No está la Casa Real como para despreciar a los pocos q la defienden.</t>
  </si>
  <si>
    <t>https://www.eldiestro.es/2018/10/letizia-desprecios-pablo-casado-pp/</t>
  </si>
  <si>
    <t>Ingeniero de Montes. Orgulloso de ser español, católico y del Atleti</t>
  </si>
  <si>
    <t>Pablo Casado se abre a pactar todo con Vox menos la supresión de las autonomías  vía @elmundoes</t>
  </si>
  <si>
    <t>Osma Salazar</t>
  </si>
  <si>
    <t>#Hemeroteca | @PPopular | Pablo Casado, 23 de abril de 2018: "[Queremos que] quien gane las elecciones, la lista más votada, pueda formar gobierno"  …</t>
  </si>
  <si>
    <t>https://verne.elpais.com/verne/2018/12/03/articulo/1543829785_936778.html?id_externo_rsoc=TW_CM
http://dlvr.it/QslWp8</t>
  </si>
  <si>
    <t>Hijo te amo con todo mi corazón</t>
  </si>
  <si>
    <t>Pepita Mena Martín</t>
  </si>
  <si>
    <t>UN NO ROTUNDO A LOS SOCIALISTAS SEÑOR PABLO CASADO . El PP empieza la 'operación blanqueamiento' de Vox</t>
  </si>
  <si>
    <t>https://www.elperiodico.com/es/politica/20181203/pp-elecciones-andalucia-pactos-ciudadanos-vox-moreno-</t>
  </si>
  <si>
    <t>Gerona, Figueras</t>
  </si>
  <si>
    <t>Soy abuela bisabuela y madre coraje soy muy española de Isla Cristina amo mi bandera y mi partido las opiniones hay que respetarlas 🇪🇸✌️</t>
  </si>
  <si>
    <t>Juan Castro Vázquez</t>
  </si>
  <si>
    <t>El doctor Sánchez auguraba a Pablo Casado que la respuesta del pueblo andaluz no le iba a gustar y como siempre, haciendo honor a sus "principios", decía exactamente lo contrario a la realidad; seguramente siguiendo la encuesta del CIS.</t>
  </si>
  <si>
    <t>pic.twitter.com/QFAB9ynVn0</t>
  </si>
  <si>
    <t>Málaga.</t>
  </si>
  <si>
    <t>Padre de cuatro hijos y abuelo de tres nietos; en “etapa sabática”.</t>
  </si>
  <si>
    <t>Pablo casado queria proponer a Maroto para q negociara la alianza con VOX en andalucia pero el juez""el capitan alatriste""y el pistolero ...le han dicho a ese MARICON DE MIERDA NO LO QUEREMOS NI VER ""........ RT @Rafman32: Todo el mundo intentando averiguar por qué ganan los fachas. No será que ganan los fachas porque los que les votan son fachas? No sé, digo yo, por apuntar una teoría...</t>
  </si>
  <si>
    <t>https://twitter.com/Rafman32/status/1069545752651796480</t>
  </si>
  <si>
    <t>Karina Sainz Borgo</t>
  </si>
  <si>
    <t>Pablo-Heras Casado @PabloHerasccp ha sido nombrado Caballero de la Orden de las Artes y las Letras del gobierno francés. En @voz_populi conversamos con él en ocasión de su #DieSoldaten en el @Teatro_Real de este año</t>
  </si>
  <si>
    <t>https://www.vozpopuli.com/altavoz/cultura/Pablo-Heras-Casado-supremas-directa-visceral_0_1135386932.html</t>
  </si>
  <si>
    <t>Periodista. Siente debilidad por los paquidermos, Fante y Flaubert y cree, firmemente, en la resurrección futbolística de Guti. #CrónicasBarbitúricas</t>
  </si>
  <si>
    <t>DrakkenElEscriba</t>
  </si>
  <si>
    <t>Me ha parecido leer por ahí que Pablo Casado pide darle una oportunidad a Vox, no? Me equivoco? Si es cierto que ha dicho eso, está claro que este señor no ha oído hablar de Paul Von Hindenburg en su vida,eh? También le dieron el título de EGB?</t>
  </si>
  <si>
    <t>Islandia</t>
  </si>
  <si>
    <t>Blog dedicado a frikadas variadas. Cuenta oficial y unica: http://descansodelescriba.blogspot.com/</t>
  </si>
  <si>
    <t>http://descansodelescriba.blogspot.com/</t>
  </si>
  <si>
    <t>EL PAÍS</t>
  </si>
  <si>
    <t>#Hemeroteca | @PPopular | Pablo Casado, 23 de abril de 2018: "[Queremos que] quien gane las elecciones, la lista más votada, pueda formar gobierno"</t>
  </si>
  <si>
    <t>https://verne.elpais.com/verne/2018/12/03/articulo/1543829785_936778.html?id_externo_rsoc=TW_CM</t>
  </si>
  <si>
    <t>Las noticias más relevantes y la última hora, por los periodistas de EL PAÍS. Para informarse y conversar. Únete al sistema de alertas mediante mensaje directo</t>
  </si>
  <si>
    <t>http://www.elpais.com</t>
  </si>
  <si>
    <t>Noticiero Universal</t>
  </si>
  <si>
    <t>El director de orquesta Pablo Heras-Casado condecorado como Caballero de la Orden de las Artes y las Letras de Francia -</t>
  </si>
  <si>
    <t>https://noticierouniversal.com/actualidad/el-director-de-orquesta-pablo-heras-casado-condecorado-como-caballero-de-la-orden-de-las-artes-y-las-letras-de-francia/</t>
  </si>
  <si>
    <t>Noticias en tiempo real</t>
  </si>
  <si>
    <t>http://www.noticierouniversal.com</t>
  </si>
  <si>
    <t>Todalamusica.es</t>
  </si>
  <si>
    <t>Pablo Heras-Casado, distinguido como Caballero de la Orden de las Artes y las Letras | @herascasado | @Teatro_Real</t>
  </si>
  <si>
    <t>https://pbs.twimg.com/media/Dthm05NWwAAPwhU.jpg</t>
  </si>
  <si>
    <t>Gracias por visitar nuestro Twitter. Música clásica y difusión cultural musical http://www.todalamusica.es</t>
  </si>
  <si>
    <t>http://www.todalamusica.es</t>
  </si>
  <si>
    <t>Para justificar que pactará con la ultraderecha de Vox, le he oído decir a Pablo Casado en @El_Intermedio que "Podemos ha defendido la historia criminal de ETA". La Historia disparatada del Bachiller Casado....</t>
  </si>
  <si>
    <t>https://www.facebook.com/100000790614895/posts/1929707947065540/</t>
  </si>
  <si>
    <t>vagu€o en INDRA</t>
  </si>
  <si>
    <t>#EleccionesAndalucía #GarantíaDeCambio El celebro de Pablo Casado no está buen amueblado y salva bastante más que los muebles pero el vagazo políticarpintero Moreno Bonilla deja al @PPandaluz hecho una PPiltrafilla perdiendo 7 escaños.  @enriquedediegov</t>
  </si>
  <si>
    <t>http://ramblalibre.com/2018/12/02/pablo-casado-salva-bastante-mas-que-los-muebles/#.XAWkpOOzi5N.twitter</t>
  </si>
  <si>
    <t xml:space="preserve">€$tafa, (España) </t>
  </si>
  <si>
    <t>Luis Bárcenas no me da sobr€s porque no pegué ni sello en Interior,soy Génovagazo #AparicioSOBREsospecha .PAROdia exPresidente de la Comi$ión de Interior.HUMOR</t>
  </si>
  <si>
    <t>http://quehacenlosdiputados.net</t>
  </si>
  <si>
    <t>Platea Magazine</t>
  </si>
  <si>
    <t>Noticias: @herascasado distinguido como Caballero de la Orden de las Artes y las Letras de Francia</t>
  </si>
  <si>
    <t>https://www.plateamagazine.com/noticias/5746-pablo-heras-casado-distinguido-como-caballero-de-la-orden-de-las-artes-y-las-letras-de-francia</t>
  </si>
  <si>
    <t>La palabra al servicio de la música. Toda la actualidad de la música clásica con sus protagonistas y las mejores firmas. info@plateamagazine.com</t>
  </si>
  <si>
    <t>http://www.plateamagazine.com</t>
  </si>
  <si>
    <t>Chechu Gutierrez</t>
  </si>
  <si>
    <t>Pablo Casado (aka Paul Married) se está convirtiendo en el Alberto Garzon de PP. Qué va a ser lo próximo? Darle las llaves a Abascal de Genova y apagar la luz al salir? Este aún no ha entendido de que va eso llamado "política", y quiere ser presi jajjajajajja 🤣🤣 #MadreMia 🤦🏻‍♂️🤦🏻‍♂️ RT @el_pais: DIRECTO  Casado pide un margen de confianza para Vox y denuncia el cinismo de la izquierda por dibujar a esta formación como "un partido peligroso". "Tendremos que ver lo que proponen. Podemos ha defendido la historia criminal etarra y están gobernando"</t>
  </si>
  <si>
    <t>Biografía en construcción, tiempo estimado: 60 años. Bi-ingeniero. Apasionado de la F1. Piloto frustrado de todo lo que tenga motor. I'm the Stig 🏎💨💨</t>
  </si>
  <si>
    <t>http://www.jesusgutierrezalvarez.es</t>
  </si>
  <si>
    <t>Jose Ferreira</t>
  </si>
  <si>
    <t>Pablo Casado, Partido Popular: "Se escucha a tanta gente hablar de Vox como un partido peligroso, pero Podemos ha defendido la historia criminal etarra"</t>
  </si>
  <si>
    <t>https://www.facebook.com/jose.ferreira.9400/posts/1942596342444100</t>
  </si>
  <si>
    <t>Seixas</t>
  </si>
  <si>
    <t>Economist</t>
  </si>
  <si>
    <t>🎄Jaime Ballesteros🎄</t>
  </si>
  <si>
    <t>- Dimisión de Cifuentes. - Fin de Rajoy presidente del Gobierno. - Pedro Sánchez presidente. - Pablo Casado presidente del PP. - Ascenso de Vox. - Posible fin del PSOE en Andalucía tras 40 años. Menudo 2018 en España, irreconocible 2017. ¿Que más falta que pase este mes?</t>
  </si>
  <si>
    <t>https://twitter.com/mabellogar/status/1069641467025661954
https://twitter.com/CincoDiascom/status/1069531815025741824</t>
  </si>
  <si>
    <t>Móstoles, Madrid, España</t>
  </si>
  <si>
    <t>Personalidad demasiado introvertida, pero si logro abrirme, es distinto. Social Media, Gamer, Pokemaníaco (a mucha honra), #LET.</t>
  </si>
  <si>
    <t>http://www.youtube.com/channel/UCGA1_eec552ZWn41Fzl5x5A/videos</t>
  </si>
  <si>
    <t>Bowsska malvado</t>
  </si>
  <si>
    <t>Pablo Casado, ehhhhh? ¿Echas a alguien de menos ahora mismo?</t>
  </si>
  <si>
    <t>Bot de @Bowsska</t>
  </si>
  <si>
    <t>maycu✨</t>
  </si>
  <si>
    <t>Muchos no os dais cuenta de que Pablo Casado tiene el MISMO discurso que VOX. No hay diferencia alguna</t>
  </si>
  <si>
    <t>♀️ 🏳️‍🌈 | "Be like a Snake, be nice to people until they step on you" | Diseño de Videojuegos UEM</t>
  </si>
  <si>
    <t>http://Instagram.com/maycu</t>
  </si>
  <si>
    <t>Agustin Moreno</t>
  </si>
  <si>
    <t>Para justificar que pactará con la ultraderecha de Vox, le he oído decir a Pablo Casado en @El_Intermedio que "Podemos ha defendido la historia criminal de ETA". Ante semejante disparate si no se querellan contra él, deberían llamarle botarate o directamente fascista.</t>
  </si>
  <si>
    <t>Profesor de historia en un instituto de Vallecas hasta hace nada, y activista veterano por los derechos sociales y democráticos</t>
  </si>
  <si>
    <t>LiBF</t>
  </si>
  <si>
    <t>mikeinthemiddle</t>
  </si>
  <si>
    <t>Pablo Casado: "El peligroso no es Vox, sino Podemos".</t>
  </si>
  <si>
    <t>Aquí, un bonito vídeo de este chico tan majete del PP, Pablo Casado (@pablocasado_). diciendo allá por abril de 2018 aquello de que debe gobernar la lista más votada y tal. Ahora ya, pues se está a otras cosas... a cosas de la ultraderecha, concretamente  RT @pablocasado_: 👉 Tal y como anunció @Rafa_Hernando, el @GPPopular va a presentar en Cortes una Proposición de Ley para proponer algo que es razonable: Quien gane las elecciones, la lista más votada, pueda formar gobierno.</t>
  </si>
  <si>
    <t>pic.twitter.com/f15zPYbZU9</t>
  </si>
  <si>
    <t>pic.twitter.com/2cqsRBNJo4
pic.twitter.com/gliYH5v5Zu</t>
  </si>
  <si>
    <t>Necesitamos otra educación para otra sociedad y otra sociedad para otra educación.</t>
  </si>
  <si>
    <t>Libertad Bajo Fianza</t>
  </si>
  <si>
    <t>🇪🇸🇸🇾🇵🇸 #Spexit</t>
  </si>
  <si>
    <t>Fijaros como está el panorama político que varias veces por semana mis padres me comparan con Pablo Casado por querer abolir la gestación subrogada o la prostitución.</t>
  </si>
  <si>
    <t>Nación Política Española</t>
  </si>
  <si>
    <t>No se admiten izquierdistas infefinidos ni vendepatrias derechistas. @VizzTiKk</t>
  </si>
  <si>
    <t>fernan p.f.</t>
  </si>
  <si>
    <t>Los buenos modales de Pablo Casado | @ctxt_es @gerardotc</t>
  </si>
  <si>
    <t>http://bit.ly/2zFRWx7</t>
  </si>
  <si>
    <t>Derecho. Psicología. Amante de la lectura, rock, basket y lennstar. Errando, que no es poco...</t>
  </si>
  <si>
    <t>verne</t>
  </si>
  <si>
    <t>Hasta hace poco, el líder del PP, Pablo Casado, se mostraba en contra de que una "alianza de perdedores" impidiera gobernar al partido más votado.</t>
  </si>
  <si>
    <t>http://ow.ly/BqSa30mQq9R</t>
  </si>
  <si>
    <t>Explorando internet.📷Instagram http://instagram.com/verne.elpais/ 📲Facebook http://facebook.com/verne.elpais/ 🔴Flipboard http://flipboard.com/@VerneElPais 📩Newsletter http://cort.as/pIRk</t>
  </si>
  <si>
    <t>http://verne.es</t>
  </si>
  <si>
    <t>ＭａｎｕＴｏｒｒｅｓ</t>
  </si>
  <si>
    <t>Una cosa es que se abra la vía del cambio y otra dar la enhorabuena por el resultado. Cuanto menos cínico Pablo Casado. Son los segundos peores resultados del PP.... RT @pablocasado_: Enhorabuena a @Juanma_Moreno por el resultado electoral en Andalucía. Ha hecho una extraordinaria campaña y es el único candidato a presidir la Junta que tiene equipo, programa y el aval de la experiencia en la gestión.</t>
  </si>
  <si>
    <t>https://twitter.com/pablocasado_/status/1069607994617458688</t>
  </si>
  <si>
    <t>pic.twitter.com/X4h4oj1voA</t>
  </si>
  <si>
    <t>Sevilla / Granada</t>
  </si>
  <si>
    <t>Reportero. Ahora contando historias desde Granada y parte del extranjero en @informativost5 y @noticias_cuatro // Reporter. Spanish journalist. Opinión personal</t>
  </si>
  <si>
    <t>Eduardo Smith </t>
  </si>
  <si>
    <t>Qué manía tiene Pablo Casado con el temita de romper España.</t>
  </si>
  <si>
    <t xml:space="preserve">En el Starbucks </t>
  </si>
  <si>
    <t>Estudio la vida del astrónomo Laper Laiscrim. Galaxias y nebulosas me resultan interesantes. ⓢⓉⓤⓁⓉⓘⒻⒺⓇ Esto no es serio. Soy cafesexual</t>
  </si>
  <si>
    <t>✡Alfredo Castelló✡</t>
  </si>
  <si>
    <t>¿Cómo era eso de que Pablo Casado y Albert Rivera vestían iguales? 😁😜😈🙊🤷‍♂️</t>
  </si>
  <si>
    <t>https://pbs.twimg.com/media/DthWTSsXgAIL4JM.jpg</t>
  </si>
  <si>
    <t>Elche, València, España</t>
  </si>
  <si>
    <t>Per ofrenar noves glòries a Espanya, tots a una veu, germans, vingau. Ja en el taller i en el camp remoregen càntics d'amor, himnes de pau!</t>
  </si>
  <si>
    <t>The Catalan Analyst</t>
  </si>
  <si>
    <t>Barcelona, Cataluña, España, U</t>
  </si>
  <si>
    <t>Donde es posible decir lo que se quiere, nadie hace el esfuerzo de decir solo lo que importa' | N.G. Dávila</t>
  </si>
  <si>
    <t>http://catalananalyst.blogspot.com.es</t>
  </si>
  <si>
    <t>Francis Llobregat 💯</t>
  </si>
  <si>
    <t>¿De qué modificación de Ley Municipal habla el ignorante de Pablo Casado? Lo de gobernar la lista votada solo se puede hacer modificando la LOREG que es una Ley Orgánica y necesita una mayoría absoluta en el Congreso que no tiene. #resaconenAndaluciaEI</t>
  </si>
  <si>
    <t>Del Valencia CF, socialista, sanchista, progresista, valenciano, español y gatólico. No necesariamente en este orden.</t>
  </si>
  <si>
    <t>Capsicum</t>
  </si>
  <si>
    <t>El análisis político de todo a 100 que os marcais algunos en que Podemos o el PdCat son, así tal cual, la otra cara de Vox, os pone a la altura de Pablo Casado. Por si queréis revisar el argumentario.</t>
  </si>
  <si>
    <t>Seguro que tenías algo mejor que hacer que leer esta bio.</t>
  </si>
  <si>
    <t>Jesús Moreno</t>
  </si>
  <si>
    <t>Pablo Casado en 2015 dijo que debía gobernar la lista más votada , Juanma Moreno hizo incapie en lo mismo.Hoy , 3 de diciembre de 2018 , están a un paso de pactar con un partido ultraderechistaa xddd , q hipócritas son algunos</t>
  </si>
  <si>
    <t>Ian Burke 🎄</t>
  </si>
  <si>
    <t>QUE ASCO ME DA PABLO CASADO JODER</t>
  </si>
  <si>
    <t>Entre Málaga y Cataluña</t>
  </si>
  <si>
    <t>feeling ∞ 💙</t>
  </si>
  <si>
    <t>https://twitter.com/IAMLenaHeadey/status/822030077651255296?s=19</t>
  </si>
  <si>
    <t>carmen</t>
  </si>
  <si>
    <t>Pablo Casado destapandose como nazi RT @el_pais: El líder del @PPopular, @pablocasado_, empieza a decir "Vox": "Se escucha a tanta gente hablar de Vox como un partido peligroso, pero Podemos ha defendido la historia criminal etarra y a la dictadura de Nicolás Maduro"</t>
  </si>
  <si>
    <t>https://twitter.com/el_pais/status/1069613561792684037
https://elpais.com/politica/2018/12/03/actualidad/1543847174_403261.html?id_externo_rsoc=TW_CM</t>
  </si>
  <si>
    <t>Pontevedra</t>
  </si>
  <si>
    <t>dios salve al rey porque aquí no hay dios que lo salve</t>
  </si>
  <si>
    <t>Carlos Delgado</t>
  </si>
  <si>
    <t>Las caras del nuevo @PPopular en la primera foto electoral de @Pablo_Casado: afines a él, a @Sorayapp y a @MDCospedal</t>
  </si>
  <si>
    <t>http://ww.cope.es/2jv681</t>
  </si>
  <si>
    <t>Profesor</t>
  </si>
  <si>
    <t>Lo que sorprende es que el PP de Pablo Casado saque pecho por unas elecciones donde les fue tan mal y que no tengan vergüenza ninguna pactar con la extrema derecha, esa que sale de sus bases. Por lo tanto ellos son extrema derecha también. #resaconenAndaluciaEl</t>
  </si>
  <si>
    <t>con acritud</t>
  </si>
  <si>
    <t>Ya veréis qué risa tendrá Pablo Casado cuando el PP desaparezca en CAT porque sus cerdos voten en bloque a VOX.</t>
  </si>
  <si>
    <t>Una patada en la boca a tiempo, te hubiera espabilado.</t>
  </si>
  <si>
    <t>fear &amp; loathing BCN</t>
  </si>
  <si>
    <t>Hola Albert Rivera y Pablo Casado....forma VOX parte del bloque cosntirucional? Vais a pactar con un partido anti Constitución Española?</t>
  </si>
  <si>
    <t>Barcelona.</t>
  </si>
  <si>
    <t>Política, RENFE, Barça, Kurdistan, Siria, immigració, refugi, R&amp;R, Música, Cinema Tweets en Català, Español, English i Participo al CDR Castelldefels</t>
  </si>
  <si>
    <t>🐝Berta G. de Vega</t>
  </si>
  <si>
    <t>Malaga</t>
  </si>
  <si>
    <t>Cómo me enfrento a las circunstancias. Colaboradora http://www.elmundo.es. Hija de Torremolinos. http://www.smartick.es. #AbejaReina bertagdv@gmail.com</t>
  </si>
  <si>
    <t>http://www.elmundo.es/blogs/elmundo/mejoreducados</t>
  </si>
  <si>
    <t>JP.Galindo</t>
  </si>
  <si>
    <t>Mire, le explico don Pablo; El PSOE fue el único partido legal durante la dictadura de Primo de Rivera, traicionó a la II República apoyando el golpe de Casado, pasó toda la dictadura franquista sin mover un dedo y desde el 78 ha sido cómplice de la impunidad del fascismo. RT @europapress: #LoMásLeído | Pablo Iglesias pide crear un frente antifascista con los partidos que apoyaron la moción de censura de Sánchez</t>
  </si>
  <si>
    <t>https://twitter.com/europapress/status/1069691394711785473
https://www.europapress.es/nacional/noticia-pablo-iglesias-pide-crear-frente-antifascista-partidos-apoyaron-mocion-censura-sanchez-20181203113447.html</t>
  </si>
  <si>
    <t>Móstoles</t>
  </si>
  <si>
    <t>Animal político. La revolución no es posible, es necesaria. Todo lo que diga podrá ser usado en mi contra. Marxista-leninista y por eso, del PCE (m-l)</t>
  </si>
  <si>
    <t>Angel G. Quintián</t>
  </si>
  <si>
    <t>Ahora resulta que Pablo Casado pone condiciones para buscar el apoyo de Vox. No sé si se ha dado cuenta de la necesidad que tiene de que Vox le ayude a sobrevivir. Ya no es extrema derecha. Pierde elecciones y se viene arriba. Santiago espero que le dés una cura de humildad.</t>
  </si>
  <si>
    <t>https://pbs.twimg.com/media/DthOEMRWkAQP7LD.jpg</t>
  </si>
  <si>
    <t>S 🌻🦋🌙</t>
  </si>
  <si>
    <t>pablo casado mirando su bebé Vox crecer RT @notafaso: necesito que me miren así</t>
  </si>
  <si>
    <t>https://twitter.com/notafaso/status/1068525421510090754</t>
  </si>
  <si>
    <t>https://pbs.twimg.com/media/DtQqLnsU4AAi_oV.jpg</t>
  </si>
  <si>
    <t>Valencia, Spagna</t>
  </si>
  <si>
    <t>just going with the flow</t>
  </si>
  <si>
    <t>Juanjo Bandera</t>
  </si>
  <si>
    <t>Para Pablo Casado , Vox no es un Partido populista de Ultraderecha, Franquista, eurofobo y racista, para Pablo Casado , Vox es un Partido que esta a la derecha del PSOE, por lo tanto pactaran con ellos…</t>
  </si>
  <si>
    <t>El Universo</t>
  </si>
  <si>
    <t>'Cuando siento una necesidad de religión, salgo de noche a pintar las estrellas.''</t>
  </si>
  <si>
    <t>John Müller</t>
  </si>
  <si>
    <t>MAD/SCL/ZOS</t>
  </si>
  <si>
    <t>He visto caer dos democracias: Chile y Venezuela. Parrillero experto. Osornino, carnivorista y colesterólico. Fui bombero. Gitano es mi corazón.</t>
  </si>
  <si>
    <t>https://johnmuller.wordpress.com/author/cultrun/</t>
  </si>
  <si>
    <t>punkrockman</t>
  </si>
  <si>
    <t>La altura i la mira politica democratica de A.Rivera i Pablo casado la veremos ahora? pactaran con partidos "democraticos"? o con un partido fascista franquista i antidemocrático?...me compro palomitas?</t>
  </si>
  <si>
    <t>can collons d la roca foradada</t>
  </si>
  <si>
    <t>baixista, ateu, antifeixista, ANTIMADRIDISTA A MUERTE, culer, republicà, antitauri, i punk #femxarxa</t>
  </si>
  <si>
    <t>jose garnica</t>
  </si>
  <si>
    <t>Pablo Casado: "El PP es el partido de la honestidad"</t>
  </si>
  <si>
    <t>lerin, navarra</t>
  </si>
  <si>
    <t>mecanico y agricultor,casado con dos hijos maravillosos</t>
  </si>
  <si>
    <t>DARRACEVANA</t>
  </si>
  <si>
    <t>??? Pablo cansino casado, te estan haciendo la cama??</t>
  </si>
  <si>
    <t>https://pbs.twimg.com/media/DthK8FrWsAMiCwx.jpg</t>
  </si>
  <si>
    <t>Antonio Bernabé</t>
  </si>
  <si>
    <t>Pablo Casado Blanco on Twitter RT @pablocasado_: El PP ha recibido un mandato claro e inequívoco para lograr el cambio que merece Andalucía. @Juanma_Moreno cuenta con el apoyo de la dirección nacional para emprender las negociaciones y recibir el apoyo de los partidos que quieran sumarse.</t>
  </si>
  <si>
    <t>https://twitter.com/pablocasado_/status/1069609333611274240?s=19</t>
  </si>
  <si>
    <t>pic.twitter.com/nzullhFkK1</t>
  </si>
  <si>
    <t>Alcalde de Benejúzar ~ Presidente Comité de Alcaldes ~ @alicantepp</t>
  </si>
  <si>
    <t>http://antoniobernabe.net</t>
  </si>
  <si>
    <t>yosu</t>
  </si>
  <si>
    <t>Por favor que alguien le meta un calcetín en la boca a Pablo Casado.</t>
  </si>
  <si>
    <t>Apago el WiFi todas las noches para así tener una razón por la que levantarme a la mañanas.</t>
  </si>
  <si>
    <t>Telediarios de TVE</t>
  </si>
  <si>
    <t>Pese a perder 7 escaños en Andalucía, el PP de Pablo Casado cree que su proyecto se ha visto reforzado y reclama a Sánchez el adelanto electoral. Nos da más detalles Almudena Guerrero.  #EleccionesAndaluzasRTVE</t>
  </si>
  <si>
    <t>El Hombre de Bruselas</t>
  </si>
  <si>
    <t>No era justo que (...) los perdedores se aliaran en los despachos, como pasó en muchas capitales y Comunidades Autónomas donde ganamos las elecciones. Presentamos una Proposición de Ley para que gobierne la lista más votada. — Pablo Casado Blanco (@pablocasado_) 30/07/2018</t>
  </si>
  <si>
    <t>http://www.rtve.es/directo/la-1/</t>
  </si>
  <si>
    <t>https://pbs.twimg.com/media/DthKNbEUUAAIW0y.jpg</t>
  </si>
  <si>
    <t>Soy el paseante/ El paseante que se parece a las cuatro estaciones</t>
  </si>
  <si>
    <t>Los Telediarios de @tve_tve son los informativos preferidos por la audiencia española en todas sus ediciones.</t>
  </si>
  <si>
    <t>http://www.rtve.es/alacarta/videos/telediario/</t>
  </si>
  <si>
    <t>Pablo Casado no ve nada problemático en Vox y sin embargo sí en Podemos. A quien con su cinismo habitual acusa de haber defendido el historial asesino etarra. Eso es mentira y dejar que Casado lo suelte sin ninguna réplica es desinformar con todas las letras. @telediario_tve</t>
  </si>
  <si>
    <t>Jorge Moreno</t>
  </si>
  <si>
    <t>Se ha hablado de cómo los medios han tratado/tratan a VOX, pero igual deberíamos hablar también de cómo lo hacen con Pablo Casado. De cómo, por no ser polaco, húngaro, brasileño o francés no identifican su discurso como ultraderechista cuando lo es en muchos puntos.</t>
  </si>
  <si>
    <t>Bear with me man, I lost my train of thought • Aprendiendo periodismo y aprendiendo de fútbol en @SoccerCityMedia.</t>
  </si>
  <si>
    <t>https://www.linkedin.com/in/jorge-moreno-aranda-0627ab12b</t>
  </si>
  <si>
    <t>Josean Dur</t>
  </si>
  <si>
    <t>Luis #Mr.H4t3R</t>
  </si>
  <si>
    <t>Pablo Casado se abre a pactar todo con Vox menos la supresión de las autonomías. Igual el Sr. ⁦@pablocasado_⁩ podría explicar por qué NO quiere suprimir las cloacas autonómicas. ¿Igual por qué se le acabaría el chollo?</t>
  </si>
  <si>
    <t>http://www.elmundo.es/espana/2018/12/03/5c05442321efa0cc3d8b46bc.html</t>
  </si>
  <si>
    <t>Heavy Metal Land! España🇪🇸</t>
  </si>
  <si>
    <t>Gamer. Cuanto más conozco a las persona, más quiero a los animales. Políticamente incorrecto, ni de izquierdas ni de derechas, España sin CCAA. KS34 y VR46 fan</t>
  </si>
  <si>
    <t>Señor Pablo Casado :los Españoles del sentido común:les pedimos que al partido SOCIALISTA"Ni agua para calmar la sed ,sé lo pedimos por el bien de España y él dé los Españoles que ama y quiere a su tierra :Por el bien común :Nada dé nada con ese traídor y cuidado con Alber Rivera RT @mabellogar: Yo digo NO NO NO AL @PPopular y un pacto con el PSOE... @pablocasado_ piénsatelo muy bien antes de actuar. Con la extrema izquierda no se pacta Ni una más</t>
  </si>
  <si>
    <t>Alice</t>
  </si>
  <si>
    <t>Pablo Casado ha cosechado el peor resultado de la historia del PP en Andalucía. Paradójicamente, podría gobernar si suma sus votos a los otros 2 partidos de extrema derecha.</t>
  </si>
  <si>
    <t>Palma-Illes Balears-</t>
  </si>
  <si>
    <t>Provocatriz-Provocaire y Surrealista. Difusa y dispersa. #Canavall #ésPalma</t>
  </si>
  <si>
    <t>GrCat 🎗</t>
  </si>
  <si>
    <t>Imaginaros lo inútiles que son los políticos como para que Vox saque 400k votos. Repasemos...Pedro Sánchez, Casado, Pablo Iglesias, Rivera...viniendo todo de Rajoy...</t>
  </si>
  <si>
    <t>Reus, República Catalana</t>
  </si>
  <si>
    <t>Someday Catalonia will be free. And i think it will be soonRecordeu que us podeu posar el llaç groc al costat del vostre nom a tuiter i altres xarxes socials:</t>
  </si>
  <si>
    <t>¡ASÍ ES LA DERECHA Y TODAVÍA HAY QUIEN NO LO SABE¡ Casado, antes de Andalucía: “Queremos que gobierne la lista más votada” via @El_Plural</t>
  </si>
  <si>
    <t>Podemos San Lorenzo</t>
  </si>
  <si>
    <t>Los casos de Cristina Cifuentes, Pablo Casado o Carmen Montón, han puesto en peligro a nuestro sistema educativo público, desprestigiando el trabajo de un gran equipo profesional y de los miles de estudiantes que con esfuerzo sacan adelante sus carreras.</t>
  </si>
  <si>
    <t>http://ow.ly/hkX830mQGof</t>
  </si>
  <si>
    <t>San Lorenzo de El Escorial</t>
  </si>
  <si>
    <t>sarranchin</t>
  </si>
  <si>
    <t>El vídeo de Pablo Casado que ejemplifica a la perfección qué es el populismo punitivo -  https%3A%2F%%2Ftremending%2F2018%2F11%2F29%2Felecciones-andalucia-2018-el-video-de-pablo-casado-que-ejemplifica-a-la-perfeccion-que-es-el-populis</t>
  </si>
  <si>
    <t>https://www.publico.es/tremending/2018/11/29/elecciones-andalucia-2018-el-video-de-pablo-casado-que-ejemplifica-a-la-perfeccion-que-es-el-populismo-punitivo/
http://2Fwww.publico.es</t>
  </si>
  <si>
    <t>Madrid- Ciempozuelos</t>
  </si>
  <si>
    <t>Jubilado y amante de tiempos mejores sin mayorías que nos vacían los derechos y los bolsillos para los choricillos jJETAS de siempre.</t>
  </si>
  <si>
    <t>https://twitter.com//sarranchin</t>
  </si>
  <si>
    <t>la cara roja de la luna</t>
  </si>
  <si>
    <t>me pongo mala de ver a Pablo Casado todo crecidito con exigencias al gobierno por que ha ganado la ultraderecha en Andalucia,se nota que son los suyos y que ha vivido el triunfo como si fuera el suyo,son lo mismo,extrategia del agotado y agonico PP de Mariano,cambio de cara</t>
  </si>
  <si>
    <t>https://pbs.twimg.com/media/DthEnpkWkAUDML9.jpg</t>
  </si>
  <si>
    <t>Muchos años en contra de las injusticias,desfaciendo entuertos...una mujer con sombrero como un cuadro.....a cabalgar a cabalgar...!!</t>
  </si>
  <si>
    <t>César Parra</t>
  </si>
  <si>
    <t>#Diaz caerá si Pedro Sánchez I el vengador pacta con Pablo Casado el máster que así sea</t>
  </si>
  <si>
    <t>Just my opinion, just my imagination, #Eurovision student #Space World Fan #tenis http://sextoanillo.com #Economy #Europe en Español, English et Français</t>
  </si>
  <si>
    <t>Angel C. de Rivas</t>
  </si>
  <si>
    <t>Patricia López 💜@patricialopezl Pablo Casado necesita un psiquiatra urgente: pierde 7 diputados, le abre la puerta a VOX, Ciudadanos se lo ha merendado y dice que su proyecto se "HA CONSOLIDADO🤣😂"</t>
  </si>
  <si>
    <t>Me he pasado veinte minutos mirando como una mosca se frotaba las patas ... ME PARECE INCREÍBLE CON QUE TONTERÍAS SE ENTRETIENEN LAS MOSCAS</t>
  </si>
  <si>
    <t>http://elrincndedonnadie.blogspot.com</t>
  </si>
  <si>
    <t>¡Que alguien pare a Pablo Casado! Si continua "blanqueando" a Vox,de aquí a tres días la formación de ultraderecha será una especie de "socialistas de baja intensidad",no te justifiques,tu amo Aznar ya te dijo lo que tenías que hacer,por lo tanto... ¡Obedece!</t>
  </si>
  <si>
    <t>VOX exige al PP eliminar la Ley de Memoria Histórica para dejarle gobernar Andalucia. Pablo Casado acepta. Ya ha empezado olvidando lo de permitir que gobierne la lista más votada.</t>
  </si>
  <si>
    <t>Opac_man</t>
  </si>
  <si>
    <t>Si Vox copa el facha pata negra, y Cs el centro-derecha liberal, cuál es el votante objetivo de Pablo Casado? El fachilla acomplejao?</t>
  </si>
  <si>
    <t>Micropollavieja</t>
  </si>
  <si>
    <t>Arredro</t>
  </si>
  <si>
    <t>Pablo Casado pide un margen de confianza para VOX: más o menos como la plaza de toros de Badajoz de grande.</t>
  </si>
  <si>
    <t>Zahúrda, Baleares</t>
  </si>
  <si>
    <t>Idle pedestrian in the global capitalism Potemkin Village.</t>
  </si>
  <si>
    <t>http://arredro.wordpress.com</t>
  </si>
  <si>
    <t>Indignad@s!!</t>
  </si>
  <si>
    <t>En los actos de VOX la gente grita ¡viva Franco! Pablo Casado celebró los escaños de VOX como si fuesen del PP. Será porque lo son, y VOX no es más que la otra muleta del PP. Ahora ya tienen 2. #MVTAndaluzasUltraVOX</t>
  </si>
  <si>
    <t>pic.twitter.com/77Hiu2Tb44</t>
  </si>
  <si>
    <t>Con l@s de abajo</t>
  </si>
  <si>
    <t>El mundo se divide, sobre todo, entre indign@s e indignad@s. Un pueblo culto es el mayor enemigo de un gobierno corrupto. #15M #SíSePuede</t>
  </si>
  <si>
    <t>isabel</t>
  </si>
  <si>
    <t>Nuevo desprecio de la reina Letizia a Casado y el PP, esto ya es inaudito  vía @ElDiestro_ UFF ! Palurda ¡</t>
  </si>
  <si>
    <t>Sevilla , trabajo en Madrid</t>
  </si>
  <si>
    <t>Arquitecto</t>
  </si>
  <si>
    <t>Daniel Lacalle</t>
  </si>
  <si>
    <t>Así es la bajada de impuestos que plantea el PP en Andalucía El PP quiere aplicar una "bajada masiva de impuestos", en línea con la revolución fiscal que lleva meses lanzando Pablo Casado.</t>
  </si>
  <si>
    <t>https://www.libremercado.com/2018-12-03/asi-es-la-bajada-de-impuestos-que-plantea-el-pp-en-andalucia-1276629241/</t>
  </si>
  <si>
    <t>Doctor en Economía/Autor. Casado, 3 hijos. Economista Jefe @TressisSV. Profesor @IEbusiness @IEB_Spain. Cons Ases @frdelpino. Comisionado Com Madrid Londres</t>
  </si>
  <si>
    <t>http://www.dlacalle.com</t>
  </si>
  <si>
    <t>Pablo Casado y Rivera muy avergonzados por tener que hacer su odiado "pacto de perdedores" . Lejos queda lo de apoyar a lista más votada. Jajajaja. Ay, bocazas!!</t>
  </si>
  <si>
    <t>Feder Quintana Glez</t>
  </si>
  <si>
    <t>Pablo Casado: "Sánchez debe convocar elecciones de inmediato" | Elecciones andaluzas 2018</t>
  </si>
  <si>
    <t>https://okdiario.com/general/2018/12/03/casado-sanchez-debe-convocar-elecciones-inmediato-3421940#.XAV_hcQcSqQ.twitter</t>
  </si>
  <si>
    <t>Gran Ca</t>
  </si>
  <si>
    <t>POR ESPAÑA ENTERA...</t>
  </si>
  <si>
    <t>Juan José Sánchez Soto</t>
  </si>
  <si>
    <t>Pablo Casado da por hecho que habrá pacto con Cs para que gobierne Moreno Bonilla con el apoyo externo de Vox.</t>
  </si>
  <si>
    <t>https://www.elespanol.com/espana/politica/20181203/casado-gobierno-moreno-bonilla-cs-externo-vox/357964919_0.html</t>
  </si>
  <si>
    <t>Derecho y Ciencias Políticas. Liberal y patriota. Nuevas Generaciones del Partido Popular.</t>
  </si>
  <si>
    <t>https://www.facebook.com/juanjose.sanchezsoto.1</t>
  </si>
  <si>
    <t>que pacte PP con la ultra derecha de VOX es normal porq segun dice pablo Casado son Amigos ...pero q lo haga C,s puede tener un alto precio en las eleccuones generales asi q .....pies de plomo</t>
  </si>
  <si>
    <t>la culpa""de q 400.000Tarados andalucrs hayan votado a VOX FASCISTA la tienen los independentistas golpistas catalanes y los BATASUNOS""VASCOS .....ole con dos cojones ....el Pablo Casado</t>
  </si>
  <si>
    <t>Mariano Juan Guasch</t>
  </si>
  <si>
    <t>Mira lo que pasó en el minuto 4:07 de la transmisión de @PPopular: Rueda de prensa de Pablo Casado</t>
  </si>
  <si>
    <t>https://www.pscp.tv/w/btVxOTFyYVFaZXdvR25Fekx8MXlOeGFPRU9lcWdHasKq6A4MM_MEUgw9Sri6uO58TWaSgiMOFKiZGnJkI_Pz?t=4m7s</t>
  </si>
  <si>
    <t>ibiza</t>
  </si>
  <si>
    <t>I r e n e.🌹</t>
  </si>
  <si>
    <t>Si Pablo Iglesias hace algo mal: Publicación en contra de Podemos y todos don unos perros flautas Al dia siguiente Casado suelta una parida: Mensajito insultando a toda la derecha y preguntandose por que la gente vota a esos fachas. Y todo esto las mismas personas en dos días. 🤦🏻‍♀️</t>
  </si>
  <si>
    <t>Aunque ya nada puede devolver la hora del esplendor en la hierba, la belleza subsiste en el recuerdo...🌼 Marketing🎓</t>
  </si>
  <si>
    <t>http://instagram.com/_94ire</t>
  </si>
  <si>
    <t>Eduardo Picchi</t>
  </si>
  <si>
    <t>Hipocresía nivel Pablo Casado:</t>
  </si>
  <si>
    <t>https://verne.elpais.com/verne/2018/12/03/articulo/1543829785_936778.html</t>
  </si>
  <si>
    <t>Máster de Abogacía (Loyola). Doble Graduado en Derecho y GAP. Vive intensamente sin pausa y no te arrepentirás. Bético hasta la médula.</t>
  </si>
  <si>
    <t>https://www.facebook.com/eduardo.picchivergara</t>
  </si>
  <si>
    <t>V</t>
  </si>
  <si>
    <t>Hay que reconocer algo a Pablo Casado y es que cada vez que habla me dan ganas de quemar cosas</t>
  </si>
  <si>
    <t>Civilización histérica, plástico y simulacro. May we meet again</t>
  </si>
  <si>
    <t>http://ask.fm/DonViggo2</t>
  </si>
  <si>
    <t>Xinista</t>
  </si>
  <si>
    <t>Ahora en Salamanca</t>
  </si>
  <si>
    <t>O povo é quem mais ordena... (Zeca Afonso)</t>
  </si>
  <si>
    <t>Antonio Pérez Ortiz</t>
  </si>
  <si>
    <t>07/03/1932.en Salta .-Argentina Hijo y descendiente españoles radicado Murcia 1990. Universitario Exe mpresario Productor, Comerciante y Exportador de Frutas</t>
  </si>
  <si>
    <t>Ángel</t>
  </si>
  <si>
    <t>¿Va el PP a eliminar la ley de Violencia de Género? ¿Y la ley de igualdad LGTBI andaluza? Pablo Casado se abre a pactar todo con Vox menos la supresión de las autonomías</t>
  </si>
  <si>
    <t>⚓️🏛⛩🕌💈🐚</t>
  </si>
  <si>
    <t>Ni tuitea ni bloguea pero no se lo pierdan 📒 Mi novela @chicadelatarta 📓 Mi blog https://angelgarextrip.blogspot.com.es/</t>
  </si>
  <si>
    <t>https://www.instagram.com/angelgarex</t>
  </si>
  <si>
    <t>Xavier Palao</t>
  </si>
  <si>
    <t>Periodista formado en @elmundoes y @expansioncom. Actualidad de España y América Latina. Política exterior, cooperación y derecho. 🇵🇪🇪🇸</t>
  </si>
  <si>
    <t>http://cgi.expansion.com/buscador/archivo_expansion.html?q=xavier+palao&amp;donde=11&amp;b_avanzada=</t>
  </si>
  <si>
    <t>La Gaceta de Almeria</t>
  </si>
  <si>
    <t>El presidente del Partido Popular, Pablo Casado, ha exigido hoy a Pedro Sánchez que convoque elecciones generales “de inmediato”...</t>
  </si>
  <si>
    <t>http://lagacetadealmeria.es/pablo-casado-exige-a-sanchez-que-convoque-elecciones-de-inmediato-tras-el-batacazo-electoral-del-psoe-en-andalucia/</t>
  </si>
  <si>
    <t>Almeria</t>
  </si>
  <si>
    <t>La Gaceta de Almeria es el periodico digital independiente de Almeria y su provincia</t>
  </si>
  <si>
    <t>http://www.lagacetadealmeria.com</t>
  </si>
  <si>
    <t>Pablo Casado exige a Sánchez que convoque elecciones “de inmediato” tras el “batacazo” electoral del PSOE en Andalucía</t>
  </si>
  <si>
    <t>https://pbs.twimg.com/media/Dtgy4-KV4AI7Uiw.jpg</t>
  </si>
  <si>
    <t>Mer</t>
  </si>
  <si>
    <t>Pablo Casado en una reunión con los presidentes de las potencias mundiales... ¡Imagínatelo! ¡Cuánta vergüencita ajena Dios mío!</t>
  </si>
  <si>
    <t>Canarias,España 🇮🇨🇪🇸</t>
  </si>
  <si>
    <t>Amor y Bambiche. Aguacates y Nutella. Viajar. Coldplay y Messi, Mojitos y Café. Música y libros. Relajo e Intensidad. Salsa de queso, Nachos, Siesta y culos.</t>
  </si>
  <si>
    <t>Carlos Cabós Beltrán</t>
  </si>
  <si>
    <t>Pablo Casado ha dicho que Podemos defiende a ETA. Eso no es delito no?</t>
  </si>
  <si>
    <t>Fraga</t>
  </si>
  <si>
    <t>Miss Nobody</t>
  </si>
  <si>
    <t>A mi me gusta Pablo Casado y el PP, a tomar por el saco...</t>
  </si>
  <si>
    <t>My own little messy world</t>
  </si>
  <si>
    <t>Melómana y cantante de ducha. Voluble, defensora de que el equilibrio existe entre dos polos opuestos. Amante de nimiedades.</t>
  </si>
  <si>
    <t>http://verdemanza.blogspot.com/</t>
  </si>
  <si>
    <t>Odalbat</t>
  </si>
  <si>
    <t>Casado sigue entregando votos a #Vox ,los españoles no quieren autonomías Pablo Casado se abre a pactar todo con Vox menos la supresión de las autonomías  vía @elmundoes</t>
  </si>
  <si>
    <t>Liberar la libertad, mi libertad no es el poder de los malos, mis obligaciones son los derechos de otros, menos derechos y mas obligaciones</t>
  </si>
  <si>
    <t>Patricio Gómez Bontá</t>
  </si>
  <si>
    <t>#MVTAndaluzasUltraVOX Interesante discurso de Pablo Casado. Los peores resultados de la historia del PP en Andalucía y celebra la entrada de VOX como si los escaños fueran suyos incluyendo los de C´s. Este chico no tiene desperdicio.</t>
  </si>
  <si>
    <t>http://www.solstromenergia.com</t>
  </si>
  <si>
    <t>PABLO CASADO: Tras el batacazo electoral en ANDALUCÍA, PEDRO SÁNCHEZ debe convocar elecciones:  via @YouTube</t>
  </si>
  <si>
    <t>http://youtu.be/2qgKHpR11Vw?a</t>
  </si>
  <si>
    <t>I added a video to a @YouTube playlist  PABLO CASADO: Tras el batacazo electoral en ANDALUCÍA, PEDRO SÁNCHEZ</t>
  </si>
  <si>
    <t>Sbr35</t>
  </si>
  <si>
    <t>#MVTAndaluzasUltraVOX Pablo Casado los enemigos de España sois vosotros y vuestra Corrupción, Vuestros recortes , vuestro saqueo continúo, vuestra basura , vuestra política y vuestro pactó con VOX Fascista en Andalucía</t>
  </si>
  <si>
    <t>👉Eli_Ros</t>
  </si>
  <si>
    <t>Pero que asco de tio Pablo Casado!!! Deja de faltar al respeto a los partidos que luchan contra el fascismo y la desiguadad! Me callo pq sino me pongo a tu nivel. HDLGP.</t>
  </si>
  <si>
    <t>pic.twitter.com/kUndXrdLvn</t>
  </si>
  <si>
    <t>Caldes de Montbui, España</t>
  </si>
  <si>
    <t>Los catalanes hacen cosas. República.</t>
  </si>
  <si>
    <t>antonio cebrián</t>
  </si>
  <si>
    <t>Si Pablo Casado pintase bisontes en las paredes de su casa, sería el perfecto hombre de las cavernas 2.0</t>
  </si>
  <si>
    <t>#ThePowerOfTheDreams</t>
  </si>
  <si>
    <t>Lucia Etxebarria</t>
  </si>
  <si>
    <t>A ver: Los partidos grandes ¿ qué han protagonizado? Grandes peleas internas. Casado contra Soraya, Pedro contra Susana, Pablo contra Tania/Lorena/Bescansa. Y muuucha sombra de corrupción. A la izquierda se les castiga con abstención. A la derecha con Vox</t>
  </si>
  <si>
    <t>Neverland</t>
  </si>
  <si>
    <t>El mundo perdió una gran pole dancer. Ganó a una chica que escribe, pincha, dirige teatro,dibuja y cocina.</t>
  </si>
  <si>
    <t>http://www.allegramag.info</t>
  </si>
  <si>
    <t>@julianignacio31</t>
  </si>
  <si>
    <t>ahora no dicen los de pp que el partido mas votado ese tiene que gobernar verdad .pablo casado ahora ser agarra a que tienen la mayoria arismetica tiene que gobernar ,verdad pabloo casado que no es lo mismo joder que te jodan pero que hijo puta eres facha verdad que si claro ..</t>
  </si>
  <si>
    <t>El padre que lo hizo.Pablo Casado, ha dicho, que va a tirar la primera piedra. Contra , todos y todas los habitantes DEMOCRATAS. Pero, no contra los ultraderechistas.</t>
  </si>
  <si>
    <t>JORDI SOLSONA</t>
  </si>
  <si>
    <t>Vaya, se van desenmascarando ellos solitos... Viva El Rey 🇪🇸 Pablo Casado se abre a pactar todo con Vox menos la supresión de las autonomías | España</t>
  </si>
  <si>
    <t>Better world, better life</t>
  </si>
  <si>
    <t>Pau Blasco</t>
  </si>
  <si>
    <t>SiNoQuieresQueSeSepa</t>
  </si>
  <si>
    <t>“Formaremos gobierno con quien sea, nos da igual, lo importante es alejar el fantasma del catalanismo de aquí”, decía Pablo Casado desde la sede popular, dispuesto a...</t>
  </si>
  <si>
    <t>https://www.elmundotoday.com/2018/12/la-derecha-consigue-frenar-el-independentismo-catalan-en-andalucia/</t>
  </si>
  <si>
    <t>Si No Quieres Que Se Sepa No Lo Hagas.</t>
  </si>
  <si>
    <t>Ceuta</t>
  </si>
  <si>
    <t>Rafa del Olmo</t>
  </si>
  <si>
    <t>Sería bueno que Pablo Casado no utilizara el término "Podemitas". No creo que a él le guste que le llamen "Pepero".</t>
  </si>
  <si>
    <t>English teacher en la Escuela Pública. ...full of life, and full of love.</t>
  </si>
  <si>
    <t>Casado, antes de Andalucía: “Queremos que gobierne la lista más votada” via @El_Plural</t>
  </si>
  <si>
    <t>Barbajaputa</t>
  </si>
  <si>
    <t>Si Pablo Casado se diera cuenta de que el PP ha sido el segundo batacazo, no estaría pidiendo elecciones con tanto ímpetu. Pero, ¡ey! Estupendo. #EleccionesYA RT @pablocasado_: Tras el batacazo electoral del PSOE en Andalucía, Sánchez debe convocar elecciones y no seguir perjudicando a España. Se sostiene con respiración asistida de independentistas, batasunos y Podemos, que retirarán su apoyo en cuanto les convenga y no por interés de nuestro país.</t>
  </si>
  <si>
    <t>https://twitter.com/pablocasado_/status/1069614280880861190</t>
  </si>
  <si>
    <t>pic.twitter.com/vsVoaJjMTG</t>
  </si>
  <si>
    <t>Soy la Tercera Ley de Newton. #VERDE 🇪🇸🏳️‍🌈🇪🇺</t>
  </si>
  <si>
    <t>GPinarPeña</t>
  </si>
  <si>
    <t>Español. Historia, ciencia y actualidad. #AntiNOM. No al comunismo. No al terrorismo. No al blanqueamiento de ETA #NiOlvidoNiPerdón</t>
  </si>
  <si>
    <t>Pablo casado pidiendo margen de confianza para vox. No hay margen de confianza cuando en tu programa electoral quieres acabar con las minorías y sus derechos.</t>
  </si>
  <si>
    <t>Cercanias VERGONZOSO</t>
  </si>
  <si>
    <t>Pues ya sabe lo que tiene que hacer el votante del PP y el de Ciudadanos. La sangria de pasta del invento de las autonomias para educacion, sanidad y pensiones. Pablo Casado se abre a pactar todo con Vox menos la supresión de las autonomías  vía @elmundoes</t>
  </si>
  <si>
    <t>jesus</t>
  </si>
  <si>
    <t>¡Al fin! El humor llega a Génova. Pablo Casado después del nuevo fracaso en las elecciones andaluzas donde han perdido 6 escaños, gracioso. "Somos el partido de la honestidad". Es bueno el chiste o no.</t>
  </si>
  <si>
    <t>Agnóstico, republicano, progresista, respetuoso incluso con aquellos que no lo son.</t>
  </si>
  <si>
    <t>El Dia Perfecto</t>
  </si>
  <si>
    <t>Moreno no ve "dificultades" en pactar con Ciudadanos pero Villegas insiste en liderar el cambio</t>
  </si>
  <si>
    <t>http://dlvr.it/QskKKZ</t>
  </si>
  <si>
    <t>https://pbs.twimg.com/media/DtgkpifU8AAnnBF.jpg</t>
  </si>
  <si>
    <t>Coro, Edo - Falcón.</t>
  </si>
  <si>
    <t>El Día Perfecto.. La Revista que se Escucha, Conducido por Liz Rodríguez de Lun a Vie de 10-12m en Metrópolis 88.1FM.</t>
  </si>
  <si>
    <t>https://www.facebook.com/eldiaperfecto102.3fm</t>
  </si>
  <si>
    <t>CuzoVello47</t>
  </si>
  <si>
    <t>Ambición, ambición y una falta total de escrúpulos, constituye para algunos políticos la única condición necesaria (Susana Díaz, Pablo Casado, etc.). Los demás (algunos), simplemente no se enteran de que hay que representar al pueblo.</t>
  </si>
  <si>
    <t>elasterisco.es</t>
  </si>
  <si>
    <t>"Pablo Casado ocupaba también un escaño en el Congreso de los Diputados cuando Rosa Díez presentó en 2012 la moción que instaba a la ilegalización de Bildu y Amaiur por considerarlos parte del entramado de ETA".</t>
  </si>
  <si>
    <t>https://www.elasterisco.es/falso-patriotismo/</t>
  </si>
  <si>
    <t>Comprometidos con la defensa y promoción del conocimiento. Tu colaboración es un apoyo necesario. https://www.elasterisco.es/suscripciones-a-el-asterisco</t>
  </si>
  <si>
    <t>http://www.elasterisco.es</t>
  </si>
  <si>
    <t>Blas de Lezo</t>
  </si>
  <si>
    <t>Pablo Casado vendiendo una victoria con los peores resultados de la historia de su partido en Andalucía.</t>
  </si>
  <si>
    <t>Malagueño</t>
  </si>
  <si>
    <t>Enrique</t>
  </si>
  <si>
    <t>Moreno no ve "dificultades" en pactar con Ciudadanos pero Villegas insiste en liderar el cambio  vía @20m</t>
  </si>
  <si>
    <t>https://www.20minutos.es/noticia/3507418/0/pablo-casado-pp-elecciones-andalucia-pactos-ciudadanos-vox/?utm_source=twitter.com&amp;utm_medium=socialshare&amp;utm_campaign=desktop</t>
  </si>
  <si>
    <t>Recibido en la redacción “La bici lo es todo” de @Capitan_Swing. Con ese título, promete. Habrá reseña en @eldebatedehoy</t>
  </si>
  <si>
    <t>https://pbs.twimg.com/media/DtgjkcWWoAIMSb3.jpg</t>
  </si>
  <si>
    <t>Pablo Casado se abre a pactar todo con Vox menos la supresión de las autonomías  via @elmundoes</t>
  </si>
  <si>
    <t>Newsss15</t>
  </si>
  <si>
    <t>Madrid Manchester Dublin Sevilla</t>
  </si>
  <si>
    <t>Noticias News</t>
  </si>
  <si>
    <t>La cara de Juan Manuel Moreno, el candidato del PP en Andalucía, era un poema. Iba a ser defenestrado por Pablo Casado tras las elecciones andaluzas y pasa al "pues me voy a tener que presentar a la investidura". #FuturoAndalucíaARV</t>
  </si>
  <si>
    <t>Seluded Martín</t>
  </si>
  <si>
    <t>🔵 @pablocasado_ “Sánchez debe convocar elecciones generales de inmediato”. Declaraciones hoy de Pablo Casado sobre los resultados de las elecciones andaluzas. En ellas explica muy claramente el porqué se deben convocar elecciones generales.</t>
  </si>
  <si>
    <t>pic.twitter.com/EuDxsd3kaY</t>
  </si>
  <si>
    <t>Gibraleón, Huelva, España</t>
  </si>
  <si>
    <t>Concejal del Partido Popular en el Ayuntamiento de Gibraleón.</t>
  </si>
  <si>
    <t>Santiago Leon Garcia</t>
  </si>
  <si>
    <t>Rivas-Vaciamadrid, España</t>
  </si>
  <si>
    <t>Sea Cortés, edúquese lo más que pueda y respete para que lo respeten</t>
  </si>
  <si>
    <t>BINARY</t>
  </si>
  <si>
    <t>Rectificamos. Santiago Abascal es el nuevo Franco.</t>
  </si>
  <si>
    <t>https://binarymag.es/politica/analizamos-el-pp-de-pablo-casado-el-resultado-os-sorprendera/</t>
  </si>
  <si>
    <t>Lifestyle Young Magazine</t>
  </si>
  <si>
    <t>http://www.binarymag.es</t>
  </si>
  <si>
    <t>ShursToday</t>
  </si>
  <si>
    <t>http://dlvr.it/Qsk9lN</t>
  </si>
  <si>
    <t>https://pbs.twimg.com/media/DtgdFmYU8AEzTZJ.jpg</t>
  </si>
  <si>
    <t>Mantente al dia Shur...</t>
  </si>
  <si>
    <t>¿Os acordáis cuando Pablo Casado defendía que gobernara la lista más votada? #EleccionesAndalucia  @ecorepublicano</t>
  </si>
  <si>
    <t>https://pbs.twimg.com/media/DtgSeSXWwAQk5ZX.jpg</t>
  </si>
  <si>
    <t>La Virgen María</t>
  </si>
  <si>
    <t>Ahí anda Pablo Casado, celebrando el resultado perdiendo escaños como si hubiera ganado las elecciones generales. IGNORANTE de los Coj€&amp;@*#%#}£es!!</t>
  </si>
  <si>
    <t>En todas partes</t>
  </si>
  <si>
    <t>Madre de Dios y sin echar un polvo. He venido a desquitarme. Que si el padre fue el José, que si el Dios…(el día que hable) Feminista.</t>
  </si>
  <si>
    <t>Palle_Rojo</t>
  </si>
  <si>
    <t>"Lo pedimos desde ya" (2016) 😂</t>
  </si>
  <si>
    <t>http://www.rtve.es/m/alacarta/videos/la-noche-en-24-horas/24h-pablo-casado-230516/3615225/?media=tve&amp;t=00s</t>
  </si>
  <si>
    <t>Defensor de la igualdad y el reparto de riqueza. La lucha obrera como base de una nueva sociedad libre</t>
  </si>
  <si>
    <t>Alejandro urteaga</t>
  </si>
  <si>
    <t>Guardia Civil retirado por atentado terrorista. Soy extremeño, de Badajoz, vivo en Murcia.</t>
  </si>
  <si>
    <t>Miguel Ángel Medina</t>
  </si>
  <si>
    <t>Pablo Casado lleva tres años pidiendo que la lista más votada forme Gobierno, y que lo contrario es "un pacto de perdedores". Es exactamente lo que va a hacer el PP, además abriendo la puerta del gobierno a la extrema derecha de Vox RT @pablocasado_: 👉 Tal y como anunció @Rafa_Hernando, el @GPPopular va a presentar en Cortes una Proposición de Ley para proponer algo que es razonable: Quien gane las elecciones, la lista más votada, pueda formar gobierno.</t>
  </si>
  <si>
    <t>https://twitter.com/pablocasado_/status/988396811449786368?s=19</t>
  </si>
  <si>
    <t>Periodista, culo inquieto, curioso, viajero, lector, juntaletras. Honestamente subjetivo / Journalist / صحافي. De Huelma. Escríbeme a: mamedina[a]http://elpais.es</t>
  </si>
  <si>
    <t>http://elpais.com/autor/miguel_angel_medina/a/</t>
  </si>
  <si>
    <t>DMarzal 🏳️‍🌈</t>
  </si>
  <si>
    <t>Pablo Casado es un nazi ha dejado de ser hipérbole para ser descripción.</t>
  </si>
  <si>
    <t>Santa Eulària des Riu, Espanya</t>
  </si>
  <si>
    <t>Voy a portarme bien.</t>
  </si>
  <si>
    <t>¿Puede el nuevo PP de Pablo Casado volver a ser la casa común del centro-derecha español? Tras las #EleccionesAndaluzas, @jcamagi y @ferrancab reflexionan sobre el papel del líder popular</t>
  </si>
  <si>
    <t>https://pbs.twimg.com/media/DtgZBSyXgAEqSrh.jpg</t>
  </si>
  <si>
    <t>Rufus T. Firefly</t>
  </si>
  <si>
    <t>Se ve claramente que a Pablo Casado no le cae bien Juanma Moreno.</t>
  </si>
  <si>
    <t>Cataluña, España</t>
  </si>
  <si>
    <t>FRANCISCO ASIS JOSE</t>
  </si>
  <si>
    <t>PABLO CASADO Y ALBERTO RIBERA, VUESTRA HORA YA HA CADUCADO, DEBÉIS DEJAR PASO A "VOX". ESPAÑA NECESITA A "VOX"</t>
  </si>
  <si>
    <t>UNIVERSITARIO DIPLOMADO GRADUADO SOCIAL</t>
  </si>
  <si>
    <t>francisco Arenal</t>
  </si>
  <si>
    <t>Profesor deportes, educador de rugby, Consejero Principal de Educaciòn</t>
  </si>
  <si>
    <t>PABLO CASADO Y ALBERTO RIBERA, DEBÉIS MORALMENTE DARLE LA PRESIDENCIA AL CANDIDATO DE "VOX", HA SIDO QUIEN MAS ESCAÑOS HA GANADO.</t>
  </si>
  <si>
    <t>JL (Capi) 😎</t>
  </si>
  <si>
    <t>El "historiador" Pablo Casado hace lo que le da la gana. Es el "mejón".....y lo sabes.</t>
  </si>
  <si>
    <t>https://www.facebook.com/100003395081586/posts/1778238722299280/</t>
  </si>
  <si>
    <t>Más p'allá de Mordor</t>
  </si>
  <si>
    <t>Soy el protagonista de mi vida. SIEMPRE ES TEMPRANO PARA RENDIRSE. 😎</t>
  </si>
  <si>
    <t>Vox pide eliminar la ley de violencia de género y todos los tribunales que juzgan estos crímenes. Pero Pablo Casado dice que “el peligroso” no es Vox, sino Podemos, “el partido más radical de la democracia”</t>
  </si>
  <si>
    <t>https://elpais.com/politica/2018/12/03/actualidad/1543847174_403261.html?id_externo_rsoc=TW_CC</t>
  </si>
  <si>
    <t>#España Pablo Casado exige a @sanchezcastejon que convoque elecciones “de inmediato” tras el “batacazo” electoral del @PSOE en Andalucía @ahorapodemos @Pablo_Iglesias_</t>
  </si>
  <si>
    <t>http://www.lacerca.com/noticias/espana/pp-casado-sanchez-elecciones-inmediato-electoral-psoe-andalucia-447751-1.html</t>
  </si>
  <si>
    <t>fifi Roldan</t>
  </si>
  <si>
    <t>Hoy, en parecidos razonables: Pablo Casado y Albert Rivera se visten exactamente igual el mismo día -</t>
  </si>
  <si>
    <t>https://www.publico.es/tremending/2018/11/30/hoy-en-parecidos-razonables-pablo-casado-y-albert-rivera-se-visten-exactamente-igual-el-mismo-dia/</t>
  </si>
  <si>
    <t>Almonte(Huelva)</t>
  </si>
  <si>
    <t>Siempre a favor del mas devil</t>
  </si>
  <si>
    <t>diana_alforja</t>
  </si>
  <si>
    <t>La alianza de extrema derecha que impulsa Steve Bannon en Europa apunta a Pablo Casado  via @eldiarioes</t>
  </si>
  <si>
    <t>https://m.eldiario.es/_30f5150b</t>
  </si>
  <si>
    <t>Mare de tres, profe de tecno a Falset i vice primera secretària Camp Tarragona del PSC. No sempre en aquest ordre, però sempre intens!!</t>
  </si>
  <si>
    <t>IDENTIDAD Y CULTURA</t>
  </si>
  <si>
    <t>La obsesión de los nacionalismos por inventar o significar interesadas singularidades identitarias, se basa en ocultar y justificar ignorancias y privilegios</t>
  </si>
  <si>
    <t>Ad Absurdum</t>
  </si>
  <si>
    <t>Si tu novio -Ha perdido votos, pero celebra los resultados como si hubiera ganado -Se alegra con el ascenso de Vox -Cree que hay que dejar gobernar a la lista más votada, pero solo cuando es la suya Entonces no es tu novio, es Pablo Casado.</t>
  </si>
  <si>
    <t>Mursiya, España</t>
  </si>
  <si>
    <t>Divulgamos la historia con la risa - Libros: 'Historia absurda de España' e 'Historia absurda de Cataluña' - Vociferamos en Diario Público y donde nos dejan.</t>
  </si>
  <si>
    <t>http://www.adabsurdum.es</t>
  </si>
  <si>
    <t>Eco Republicano</t>
  </si>
  <si>
    <t>¿Os acordáis cuando Pablo Casado defendía que gobernara la lista más votada? #EleccionesAndalucia</t>
  </si>
  <si>
    <t>A por la Tercera República</t>
  </si>
  <si>
    <t>https://telegram.me/ecorepublicano</t>
  </si>
  <si>
    <t>Pablo Casado recupera ahora los argumentos del nacionalismo sobre "Gibraltar español"  @kaosenlarednet #TratadoUtrech #ConflictoGibraltarEspaña #DerechoDeAutodeterminación</t>
  </si>
  <si>
    <t>http://ver.20m.es/ggviq2</t>
  </si>
  <si>
    <t>https://pbs.twimg.com/media/DtgQ4IjWkAAATEs.jpg</t>
  </si>
  <si>
    <t>Roberto dos Santos G</t>
  </si>
  <si>
    <t>Pablo Casado defiende el pacto del PP con VOX  vía @YouTube</t>
  </si>
  <si>
    <t>ÜT: 10.480056,-66.795467</t>
  </si>
  <si>
    <t>Architect - Glass and Ceramic Sculptor</t>
  </si>
  <si>
    <t>http://www.robertodossantos.net</t>
  </si>
  <si>
    <t>Leo</t>
  </si>
  <si>
    <t>Pablo casado malo tweet reivindicativo si tu unfollow amigo que vota vox entonces tu tonto y yo mejor persona porque soy mejon que tu que eres tonto</t>
  </si>
  <si>
    <t>la verdad es que me queda na y menos</t>
  </si>
  <si>
    <t>Pablo</t>
  </si>
  <si>
    <t>El Partido Popular con su líder Pablo Casado con tal de gobernar Andalucía y ponerse la medallita de haber asaltado el último e inexpugnable bastión de "la izquierda" está buscando como un perro en celo pactar con la extrema derecha.</t>
  </si>
  <si>
    <t>París, Francia</t>
  </si>
  <si>
    <t>En lo que pensamos nos convertimos. ••• De Andalucía. Fisio. Fluctuat nec mergitur. El rollo mesiánico de Pablito. 🤺</t>
  </si>
  <si>
    <t>http://mysouthofnonorth.wordpress.com</t>
  </si>
  <si>
    <t>liberatibus</t>
  </si>
  <si>
    <t>Nicky Maduro</t>
  </si>
  <si>
    <t>Pablo Casado pide un margen de confianza para Jose Bretón</t>
  </si>
  <si>
    <t>https://pbs.twimg.com/media/DtgOtMbW0AE7i3B.jpg</t>
  </si>
  <si>
    <t>Soy el representante de Podemos, ETA, IS, Belcebú y Darth Vader en Venezuela.</t>
  </si>
  <si>
    <t>Español con espiritu ciudadano de un mundo libre.</t>
  </si>
  <si>
    <t>http://liberatibus.blogspot.com</t>
  </si>
  <si>
    <t>Fucking Madrid</t>
  </si>
  <si>
    <t>Próximamente veremos a Pablo Casado y Albert Rivera haciendo cosas nazis con Vox.</t>
  </si>
  <si>
    <t>https://pbs.twimg.com/media/DtgOsM8W0AA7_mD.jpg</t>
  </si>
  <si>
    <t>Involution is coming</t>
  </si>
  <si>
    <t>http://fuckingmadrid.com</t>
  </si>
  <si>
    <t>marts🌺</t>
  </si>
  <si>
    <t>esta noche he soñado que me casaba con Pablo Casado y no lo he pasado peor en mi vida, lo juro.</t>
  </si>
  <si>
    <t>Cádiz,España</t>
  </si>
  <si>
    <t>The summertime and butterflies all belong to your creation.</t>
  </si>
  <si>
    <t>https://www.20minutos.es/noticia/3507418/0/pablo-casado-pp-elecciones-andalucia-pactos-ciudadanos-vox/</t>
  </si>
  <si>
    <t>https://pbs.twimg.com/media/DtgNX4oX4AA5ltN.jpg</t>
  </si>
  <si>
    <t>Emilio Ordiz</t>
  </si>
  <si>
    <t>Pablo Casado defiende el pacto del PP con VOX  vía @YouTube La soberbia de Casado es ridícula. ¿Se puede modificar la Constitución por cauces reglamentarios si se demuestra que las comunidades son una ruina?, ¿Quiere o no quiere hacer sostenible España?..</t>
  </si>
  <si>
    <t>Asturias - Madrid</t>
  </si>
  <si>
    <t>Periodista en @20m. Sigo la actualidad de PP y Ciudadanos. Especializado en Unión Europea. Del Sporting. A veces en @DiarioSpiker</t>
  </si>
  <si>
    <t>https://www.linkedin.com/in/emilio-ordiz-504b72136/</t>
  </si>
  <si>
    <t>http://dlvr.it/Qsjt10</t>
  </si>
  <si>
    <t>https://pbs.twimg.com/media/DtgMKZeU4AEIiCy.jpg</t>
  </si>
  <si>
    <t>K_Wendy_Ozz</t>
  </si>
  <si>
    <t>Casado exige a Sánchez que convoque las generales y dice que “el PP ahora solo puede crecer” @lavanguardia  -- MAL SE TE DAN LAS MATEMATICAS...AH QUE TIENES UN MASTER DE LA URJC...ASI TE VA</t>
  </si>
  <si>
    <t>http://shr.gs/exP72bD</t>
  </si>
  <si>
    <t>Barcelona, Catalunya Lliure</t>
  </si>
  <si>
    <t>Grace Killian</t>
  </si>
  <si>
    <t>Pablo Casado piensa que si el PP tiene éxito en Andalusia, va a tener éxito en los otros elecciones en todo el país. También, piensa que puede mantener el apoyo de VOX y otros partidos a la derecha. #SPA250</t>
  </si>
  <si>
    <t>Ruben "Chamonator"</t>
  </si>
  <si>
    <t>Por cierto, ¿no era Pablo Casado el que pedía que gobernara la lista más votada? Ooops...</t>
  </si>
  <si>
    <t>Gordaco madrileño de 26 años, majo y duro de ver en pelotas. Flight Planner en @Fly_Norwegian. Candado @Aeroapollardao2. Viviendo en BCN😍</t>
  </si>
  <si>
    <t>https://www.instagram.com/chamonator/</t>
  </si>
  <si>
    <t>Inma Patón Mas</t>
  </si>
  <si>
    <t>“Fascismo sin complejos es Ortega Smith diciendo en La Sexta que nos fusilaron por amor, Pablo Casado pidiendo ilegalizarnos y Rivera diciendo que en las dictaduras hay cierto orden”, señaló el secretario general, Enrique Santiago.</t>
  </si>
  <si>
    <t>https://pbs.twimg.com/media/DtgGMsUWsAM84Yd.jpg</t>
  </si>
  <si>
    <t>responsable de organización del PCE-CYL y coordinadora del área animalista de IU Miranda</t>
  </si>
  <si>
    <t>Atsicerex</t>
  </si>
  <si>
    <t>Casado confirma que el PP abre las puertas a VOX y no es de extrañar pues al final VOX son exs del PP que han fundado un nuevo partido sin caretas</t>
  </si>
  <si>
    <t>https://www.elconfidencial.com/espana/2018-10-08/pablo-casado-vox-santiago-abascal-pedro-sanchez_1627299/</t>
  </si>
  <si>
    <t>JEREZ DE LA FRONTERA</t>
  </si>
  <si>
    <t>XERECISTA - XEREZ DEPORTIVO FC</t>
  </si>
  <si>
    <t>http://www.xerezdeportivofc.com</t>
  </si>
  <si>
    <t>Lluís Bassets</t>
  </si>
  <si>
    <t>Ya sabemos quien les da la bienvenida y la respetabilidad: Pablo Casado, entusiasmado con el retroceso del PP en Andalucía, como quien deja ciego a un tuerto a cambio de quedarse tuerto él mismo. RT @lbassets: Ya los tenemos aquí: Vox, Bolsonaro, Trump, Bannon, Orban, Farage... Solo falta saber quién les dará la bienvenida e incluso les abrirá las puertas de la respetabilidad.  via @elpais_espana</t>
  </si>
  <si>
    <t>https://twitter.com/lbassets/status/1069359680156254208
https://elpais.com/politica/2018/12/02/actualidad/1543765846_278055.html?id_externo_rsoc=TW_CC</t>
  </si>
  <si>
    <t>periodista; arguments i enllaços; no admeto converses amb maleducats; publicito el meu llibre sobre Pujol i bloquejo als qui insulten i assetgen</t>
  </si>
  <si>
    <t>http://elpais.com/autor/lluis_bassets/a/</t>
  </si>
  <si>
    <t>Libertad Digital TV</t>
  </si>
  <si>
    <t>Suscríbete a nuestro Twitter para saber en tiempo real cuándo actualizamos nuestra página web con los últimos vídeos y noticias.</t>
  </si>
  <si>
    <t>http://tv.libertaddigital.com/</t>
  </si>
  <si>
    <t>Pablo Casado se abre a pactar todo con Vox menos la supresión de las autonomías</t>
  </si>
  <si>
    <t>https://ift.tt/2StCdZ5</t>
  </si>
  <si>
    <t>Juan Carlos Espinosa</t>
  </si>
  <si>
    <t>Periodista mexicano. Actualmente en la Escuela de Periodismo UAM-El País. Antes en @EnfoqueNoticias</t>
  </si>
  <si>
    <t>http://www.enfoquenoticias.com.mx</t>
  </si>
  <si>
    <t>Said</t>
  </si>
  <si>
    <t>Pablo Casado hablando de Vox antes de las elecciones / Pablo Casado hablando de Vox después de las elecciones #FuturoAndalucíaARV</t>
  </si>
  <si>
    <t>https://pbs.twimg.com/media/DtgBafcXgAA-OXF.jpg</t>
  </si>
  <si>
    <t xml:space="preserve">Spanya </t>
  </si>
  <si>
    <t>Vendo cobre.</t>
  </si>
  <si>
    <t>Elisa Pons</t>
  </si>
  <si>
    <t>Pablo Casado: “En Balears y en Ibiza hay un gobierno de perdedores”</t>
  </si>
  <si>
    <t>Mallorca(Illes Balears)</t>
  </si>
  <si>
    <t>Màster en: -No callar ni davall l'aigua . -Perdre ☔ -Tenir més paciència qu'una 😇 -Riure'm de jo mateixa -Preparar sopar de cap d'any</t>
  </si>
  <si>
    <t>Moreno se emplaza a “dialogar” con Ciudadanos y Vox para tener un pacto de gobierno antes del 27 de diciembre leoncita1</t>
  </si>
  <si>
    <t>https://www.lavanguardia.com/politica/20181203/453310860731/pablo-casado-exige-pedro-sanchez-convoque-elecciones-generales-pp-ahora-puede-crecer.html?utm_source=twitter_lv&amp;utm_medium=social</t>
  </si>
  <si>
    <t>Arsenio Coto</t>
  </si>
  <si>
    <t>A esta hora Susana Díaz sigue sin dimitir, Pedro Sánchez, sin dar la cara; Moreno y Casado, frotándose las manos, pese a perder casi un tercio de votos, y Pablo Iglesias, sin hacer autocrítica. Así lamentablemente la ultraderecha continuará su avance. #EleccionesAndalucía</t>
  </si>
  <si>
    <t>Periodista del diario El Progreso de Lugo.</t>
  </si>
  <si>
    <t>JuanRa Bethencourt</t>
  </si>
  <si>
    <t>Dice Pablo Casado que ahora ya no es necesario que "gobierne la fuerza mas votada", que ahora es mejor que gobierne la segunda mas votada. Y Albert Rivera, que tampoco, que lo ideal es que gobierne la que quede tercera. Los de Vox callan.</t>
  </si>
  <si>
    <t>Primum non nocere. Homo sum, humani nihil a me alienum puto. Etiam si omnes, ego non.</t>
  </si>
  <si>
    <t>José Feijóo Carrasco</t>
  </si>
  <si>
    <t>Así es la bajada de impuestos que plantea el PP en Andalucía El PP quiere aplicar una "bajada masiva de impuestos", en línea con la revolución fiscal que lleva meses lanzando Pablo Casado. Una vez descabalgado el PS, se empezará a gestionar.</t>
  </si>
  <si>
    <t>Pola de Lena</t>
  </si>
  <si>
    <t>Estudios de Magisterio y de Administración Local</t>
  </si>
  <si>
    <t>El mercuri</t>
  </si>
  <si>
    <t>Pablo Casado promete descubrir un nuevo continente si llega a la presidencia  via @elmundotoday</t>
  </si>
  <si>
    <t>https://www.elmundotoday.com/2018/10/pablo-casado-promete-descubrir-un-nuevo-continente-si-llega-a-la-presidencia/</t>
  </si>
  <si>
    <t>Una cosa no és justa pel fet de ser llei. Ha de ser llei perquè és justa. Montesquieu</t>
  </si>
  <si>
    <t>Andrea</t>
  </si>
  <si>
    <t>Pablo Casado, eufórico por "liderar el cambio" tras el fin de la hegemonía del PSOE en Andalucía 🤦🏼‍♀️</t>
  </si>
  <si>
    <t>https://www.elmundo.es/andalucia/2018/12/02/5c042eda21efa030288b45c6.html</t>
  </si>
  <si>
    <t xml:space="preserve">¿Y dónde coño estaba yo? </t>
  </si>
  <si>
    <t>Todo te lo puedo dar menos el amor,baby</t>
  </si>
  <si>
    <t>Daria</t>
  </si>
  <si>
    <t>Uy, qué sorpresa! Pablo Casado es facha RT @el_pais: DIRECTO  Casado pide un margen de confianza para Vox y denuncia el cinismo de la izquierda por dibujar a esta formación como "un partido peligroso". "Tendremos que ver lo que proponen. Podemos ha defendido la historia criminal etarra y están gobernando"</t>
  </si>
  <si>
    <t>Inglaterra, Reino Unido</t>
  </si>
  <si>
    <t>Arandina en Madrid. Madrileña en Aranda. Española en Inglaterra. Periodista, feminista transinclusiva, de izquierdas y colchonera. Antifascista.</t>
  </si>
  <si>
    <t>amparameque</t>
  </si>
  <si>
    <t>https://okdiario.com/general/2018/12/03/casado-sanchez-debe-convocar-elecciones-inmediato-3421940#.XAU8jaNdgK4.twitter</t>
  </si>
  <si>
    <t>El derecho y el deber, son como palmeras: no dan fruto si no crecen uno al lado del otro.</t>
  </si>
  <si>
    <t>Moreno se emplaza a “dialogar” con Ciudadanos y Vox para tener un pacto de gobierno antes del 27 de diciembre @leoncita1</t>
  </si>
  <si>
    <t>Pablo Casado dice que el PP es "como la CDU alemana" Merkel nunca ha pactado con Alternativa por Alemania. Es más, su política de pactos parte de dejar fuera a la extrema derecha alemana</t>
  </si>
  <si>
    <t>Directo | Pablo Casado: "Es un resultado bueno, histórico, de cambio"</t>
  </si>
  <si>
    <t>https://ift.tt/2SsfxIK</t>
  </si>
  <si>
    <t>AYLA</t>
  </si>
  <si>
    <t>El PP se lanza a un pacto con Vox: ⏩ "Es una grandísima oportunidad que no vamos a dejar pasar" El cambio en Andalucía es Vox Pablo Casado? 👎⏬⏬⏬  vía @eldiarioes</t>
  </si>
  <si>
    <t>https://m.eldiario.es/_32357b97</t>
  </si>
  <si>
    <t>Por un Mundo donde seamos socialmente iguales, humanamente diferentes y totalmente libres!</t>
  </si>
  <si>
    <t>Galiciaé</t>
  </si>
  <si>
    <t>#EnBlog @olartemiguel establece una particular relación entre los aborígenes de Sentinel del Norte y Pablo Casado</t>
  </si>
  <si>
    <t>https://www.galiciae.com/blog/miguel-olarte/soberbia/20181202151507047608.html</t>
  </si>
  <si>
    <t>Sede: Santiago de Compostela</t>
  </si>
  <si>
    <t>O Diario Galego http://Galiciae.com</t>
  </si>
  <si>
    <t>http://www.galiciae.com</t>
  </si>
  <si>
    <t>Vitoria-Gasteiz, España</t>
  </si>
  <si>
    <t>El Progreso de Lugo</t>
  </si>
  <si>
    <t>https://www.elprogreso.es/blog/miguel-olarte-blog/soberbia/201812021514411347386.html</t>
  </si>
  <si>
    <t>Lugo, Galicia, España</t>
  </si>
  <si>
    <t>Twitter Oficial de El Progreso. Somos tu diario de Lugo desde 1908. Ahora puedes seguirnos también por http://www.facebook.com/elprogresodelugo</t>
  </si>
  <si>
    <t>http://elprogreso.galiciae.com</t>
  </si>
  <si>
    <t>Diario de Pontevedra</t>
  </si>
  <si>
    <t>https://www.diariodepontevedra.es/blog/miguel-olarte/soberbia/201812021514151011975.html</t>
  </si>
  <si>
    <t>Pontevedra (Galicia-Spain)</t>
  </si>
  <si>
    <t>Diario líder en difusión (según los datos del EGM) en la ciudad de Pontevedra y su ámbito de influencia, así como en otras comarcas de la provincia.</t>
  </si>
  <si>
    <t>http://www.diariodepontevedra.es</t>
  </si>
  <si>
    <t>Y ahora que hacemos??? En política se tiene que ser consecuente con lo que se dice y no engañar a la gente......</t>
  </si>
  <si>
    <t>https://www.elplural.com/politica/pablo-casado-debe-gobernar-la-lista-mas-votada-porque-los-ciudadanos-deciden-con-su-voto_207439102_amp</t>
  </si>
  <si>
    <t>dietista,estudiante de c.políticas en la Uned, sec.general de @pspvmaritim, vocal en la junta de distrito ,asesor de @ruben_alfaro en @psoefvmp</t>
  </si>
  <si>
    <t>Casado y Moreno, juntos el día después: "El tiempo de Díaz ha pasado y ahora no puede bloquear el cambio"</t>
  </si>
  <si>
    <t>http://dlvr.it/QsjR9F</t>
  </si>
  <si>
    <t>https://pbs.twimg.com/media/Dtf0vU3UcAAbv-w.jpg</t>
  </si>
  <si>
    <t>Esmereldo Ceraviejo de Maximo y Litio</t>
  </si>
  <si>
    <t>Tenemos el curriculum de oportunismo cum laude de Pablo Casado y tós sus másters ¿DE VERDÁT OS SORPRENDE?</t>
  </si>
  <si>
    <t>Pezonia</t>
  </si>
  <si>
    <t>—Máster de postgrado en el Colegio de Elemental San Capuntas de los Cirios, promoción 1012-1024. —Máster en prevención de habilidades. —MILF de Tuínter.</t>
  </si>
  <si>
    <t>Casado y Moreno, juntos el día después: "El tiempo de Díaz ha pasado y ahora no puede bloquear el cambio"  | Por EmilioOrdiz</t>
  </si>
  <si>
    <t>http://ver.20m.es/ggviq1</t>
  </si>
  <si>
    <t>Casado y Moreno, juntos el día después: "El tiempo de Díaz ha pasado y ahora no puede bloquear el cambio"  | Por @EmilioOrdiz</t>
  </si>
  <si>
    <t>pic.twitter.com/QmKJYZyeZk</t>
  </si>
  <si>
    <t>NNGG Almonte</t>
  </si>
  <si>
    <t>Nuestro presidente Pablo Casado muestra todo su apoyo junto con la dirección nacional a @juanma para formar un gobierno de centro derecha y construir un futuro próspero para todos los andaluces. #GarantiaDeCambio</t>
  </si>
  <si>
    <t>https://www.facebook.com/partidopopulardealmonte/videos/260543987964603/</t>
  </si>
  <si>
    <t>Las Nuevas Generaciones de Almonte somos un espacio abierto a todos los jóvenes del pueblo para que disfruten del acceso a la política local</t>
  </si>
  <si>
    <t>https://www.facebook.com/nuevasgeneracionesalmonte</t>
  </si>
  <si>
    <t>Hola Pablo Casado: Qué gobierne la lista más votada ya se te ha olvidado decirlo, no?</t>
  </si>
  <si>
    <t>David Belzunce 🎈</t>
  </si>
  <si>
    <t>Pablo Casado haciendo campaña por Vox de cara a las próximas elecciones generales. Entre el original y la copia, la gente prefiere el original. RT @el_pais: DIRECTO  Casado pide un margen de confianza para Vox y denuncia el cinismo de la izquierda por dibujar a esta formación como "un partido peligroso". "Tendremos que ver lo que proponen. Podemos ha defendido la historia criminal etarra y están gobernando"</t>
  </si>
  <si>
    <t>Comunicador hiperconnectat aprenent a base de cops i incomodant des de les perifèries. #SocialMedia Freelance. Soci a @BizarreBCN. Màster TV @GestTraining.</t>
  </si>
  <si>
    <t>http://davidbelzunce.com</t>
  </si>
  <si>
    <t>Indio</t>
  </si>
  <si>
    <t>Dice que cuanto más rico más facha. Cc: @Pablo_Iglesias_ RT @puigmelont: No le des mas vueltas, filósofo. Los andaluces son fachas y ya está.</t>
  </si>
  <si>
    <t>https://twitter.com/puigmelont/status/1069520048635736064
https://twitter.com/agarzon/status/1069377398058246145</t>
  </si>
  <si>
    <t>Vicente Calderón</t>
  </si>
  <si>
    <t>Administrativo/cash online. Una vez gané un donka</t>
  </si>
  <si>
    <t>Mañana de alegría y sonrisas en Génova. Casado y Moreno, juntos el día después: "El tiempo de Díaz ha pasado y ahora no puede bloquear el cambio"</t>
  </si>
  <si>
    <t>Juan M Castañeda</t>
  </si>
  <si>
    <t>Según escucho declaraciones de Pablo Casado, me indigna que sea un político de la política. Pediría a mi Presidente Santi Abascal, que no se convierta en un parlanchín fariseo , como lo son todos estos de la PARTIDOCRACIA, Sanchez, Rivera y también Casado</t>
  </si>
  <si>
    <t>No me gusta lo que veo</t>
  </si>
  <si>
    <t>Lluís Pol Potitos</t>
  </si>
  <si>
    <t>"Pido un margen de confianza para Vox" "Tendremos que ver lo que proponen" Madremía, Pablo von Papen Casado</t>
  </si>
  <si>
    <t>St. Martí de Kamchatka</t>
  </si>
  <si>
    <t>Marxista-Delgadista. S'han de socialitzar els mitjans de producció... de la Frigo #Cornettos</t>
  </si>
  <si>
    <t>nnggcalahorra</t>
  </si>
  <si>
    <t>Pablo Casado: "El histórico resultado en Andalucía es la primera cita para que el PP regrese cuanto antes al Gobierno de España" Titulares de su intervención: Las elecciones andaluzas han arrojado...</t>
  </si>
  <si>
    <t>https://www.facebook.com/nuevasgeneraciones.calahorra/posts/928065800697503</t>
  </si>
  <si>
    <t>Calahorra</t>
  </si>
  <si>
    <t>Nuevas Generaciones Calahorra es una organización juvenil de carácter político cuyo objetivo es elaborar propuestas para mejorar las condiciones de los jóvenes.</t>
  </si>
  <si>
    <t>http://www.nngglarioja.es</t>
  </si>
  <si>
    <t>Pablo Heras-Casado</t>
  </si>
  <si>
    <t>Mañana nos vemos en Madrid para mi firma de libros! @rtve Radio Clásica - “Sinfonía de la mañana” hará un sorteo y podéis ganar una copia de mi libro #Apruebadeorquesta 📚🎶 •</t>
  </si>
  <si>
    <t>http://www.lafabrica.com/es/evento/firma-pablo-heras-casado/</t>
  </si>
  <si>
    <t>https://pbs.twimg.com/media/DtfuaeeXoAA5Gqs.jpg</t>
  </si>
  <si>
    <t>Everywhere. If not, Granada.</t>
  </si>
  <si>
    <t>The official Twitter feed of Spanish conductor Pablo Heras-Casado</t>
  </si>
  <si>
    <t>http://www.pabloherascasado.com</t>
  </si>
  <si>
    <t>María</t>
  </si>
  <si>
    <t>Madre mía Pablo Casado. Cada vez que abre la boca es para decir una mentira o una sandez. De verdad esto es lo mejor que tenéis, @PPopular ?</t>
  </si>
  <si>
    <t>Wilbury.</t>
  </si>
  <si>
    <t>Pablo Casado equiparando a Podemos con Vox es lo más gracioso XD</t>
  </si>
  <si>
    <t>Talking to myself, crying out loud.</t>
  </si>
  <si>
    <t>http://www.elpoetaestaescribiendo.blogspot.com.es</t>
  </si>
  <si>
    <t>Pablo A. Iglesias</t>
  </si>
  <si>
    <t>Pablo Casado señala a Vox y Ciudadanos como su siguiente objetivo político: "El PP tiene ambición de recuperar todo el espacio electoral del centro derecha"</t>
  </si>
  <si>
    <t>https://pbs.twimg.com/media/DtfsBvzWwAAVK9Q.jpg</t>
  </si>
  <si>
    <t>Director de Información en @Servimedia. Fundador de @LaSemanaes. Profesor doctor de Periodismo en @UFVmadrid. Participo en @LaTardeCOPE y soy @C_dPaz</t>
  </si>
  <si>
    <t>#EleccionesAndalucía El presidente del PP, Pablo Casado, declara en su rueda de prensa que las elecciones andaluzas eran un referéndum, y que por eso es necesario que Ciudadanos apoye a Juan Manuel Moreno</t>
  </si>
  <si>
    <t>Dice Pablo Casado que los pactos de perdedores no estan tan mal como pensaba antes, que ha reflexionado y se lo ha pensado mejor.</t>
  </si>
  <si>
    <t>Pablo Casado se pregunta porque PSOE puede pactar con Torra y el no puede hacer pactos con el partido que hace anuncios con caballitos.</t>
  </si>
  <si>
    <t>Monica</t>
  </si>
  <si>
    <t>Autocrítica de Pablo Casado ante la bajada de voto a y escaños y la entrada de un partido de derechas: "Ya he dicho que hay que cambiar los horarios de los mitines" #Lojuro #Literal #EleccionesAndalucía</t>
  </si>
  <si>
    <t>Bilbaina en Pucela. Periodista en gabinete. Ahora me paso por Madrid. Mis opiniones , solo mías.</t>
  </si>
  <si>
    <t>Que dice Pablo Casado que les pagan para preocuparse por los andaluces ajajajaj si claro, los empresarios de la Gurtel daban sobres llenos de dinero para que se ocupasen de los andaluces jajajaja</t>
  </si>
  <si>
    <t>Agathe Cortes</t>
  </si>
  <si>
    <t>Para Pablo Casado, líder del PP, las elecciones andaluzas reflejan" un resultado bueno, un resultado histórico de cambio y que solo hace falta crecer", anuncia en la rueda de prensa tras las elecciones andaluzas, en Sevilla.</t>
  </si>
  <si>
    <t>periodista y actriz franco-española ; diplomada en investigación: #arte #cultura #sociedad #historia #literatura ; alumna en @el_pais (@Edperiodismo)</t>
  </si>
  <si>
    <t>ABC España</t>
  </si>
  <si>
    <t>El presidente del PP analiza el resultado de las elecciones andaluzas junto al candidato de su partido</t>
  </si>
  <si>
    <t>http://espana.abc.es/tbfk22</t>
  </si>
  <si>
    <t>Toda la actualidad política del panorama nacional, de mano de ABC</t>
  </si>
  <si>
    <t>http://www.abc.es</t>
  </si>
  <si>
    <t>Jesús</t>
  </si>
  <si>
    <t>"Un centro derecha partido en tres". Pablo Casado mete ahí a la extrema derecha de Vox. Por si quedaban dudas.</t>
  </si>
  <si>
    <t>Granada-Madrid</t>
  </si>
  <si>
    <t>Periodista de los que no ponen en su bio solamente 'periodista' para aparentar solemnidad. En @eldiarioes.</t>
  </si>
  <si>
    <t>📺 DIRECTO | Comparecencia de los dirigentes del PP Juanma Moreno y Pablo Casado sobre las elecciones de Andalucía Síguelo aquí</t>
  </si>
  <si>
    <t>https://www.eldiario.es/directo/pp</t>
  </si>
  <si>
    <t>https://pbs.twimg.com/media/DtfoK7RWwAAytg1.jpg</t>
  </si>
  <si>
    <t>j</t>
  </si>
  <si>
    <t>#EleccionesAndalucía A la espera de ver si los 12 escaños de Vox entran en juego para un gobierno de derechas, Pablo Casado no cierra la puerta. Hace unas horas dijo: "Es una grandísima oportunidad que no vamos a dejar pasar".</t>
  </si>
  <si>
    <t>https://pbs.twimg.com/media/Dtfne4LXQAA5789.jpg</t>
  </si>
  <si>
    <t>Buenos Aires, Argentina</t>
  </si>
  <si>
    <t>Ana Cabanillas</t>
  </si>
  <si>
    <t>Pablo Casado inició anoche los primeros contactos con Rivera y Abascal para formar gobierno en Andalucía  vía @indpcom</t>
  </si>
  <si>
    <t>https://www.elindependiente.com/politica/2018/12/03/casado-inicio-anoche-los-primeros-contactos-con-rivera-y-abascal-para-formar-gobierno-en-andalucia/?utm_source=share_buttons&amp;utm_medium=twitter&amp;utm_campaign=social_share</t>
  </si>
  <si>
    <t>writing is rhythm</t>
  </si>
  <si>
    <t>Perdón, por favor y gracias | Periodista | Política en @indpcom | Cuenta personal</t>
  </si>
  <si>
    <t>Raul Corindon</t>
  </si>
  <si>
    <t>#futuroandalucíaarv Pablo Casado:"Depurado Arenas...Amo a Moreno."</t>
  </si>
  <si>
    <t>Miguel Marqués</t>
  </si>
  <si>
    <t>La alianza de extrema derecha que impulsa Steve Bannon en Europa apunta a Pablo Casado  vía @eldiarioes</t>
  </si>
  <si>
    <t>Traductor editorial. Traductor jurado [EN/FR→ES] ᴥ Profesor de traducción en Cálamo&amp;Cran</t>
  </si>
  <si>
    <t>http://mmarques.info</t>
  </si>
  <si>
    <t>Mister Wolf</t>
  </si>
  <si>
    <t>Todo el mundo, tras esta debacle, pone en jaque el liderazgo de Sánchez, Susana, Casado... nadie habla del líder que está destrozado su partido, Pablo Iglesias hace mucho que dejó de representar el espíritu del 15M. #FuturoAndalucíaARV #AndaluciaL6 @ahorapodemos @podemos</t>
  </si>
  <si>
    <t>Tampa, FL</t>
  </si>
  <si>
    <t>Antonio Casado</t>
  </si>
  <si>
    <t>Pablo Casado asume para Moreno Bonilla la responsabilidad de encabezar el gobierno de la derecha en Andalucía.</t>
  </si>
  <si>
    <t>Periodista, de Ayoó. Independiente, pero no de mis ideas, mis amigos y mis estados de ánimo.</t>
  </si>
  <si>
    <t>Victor Uriel</t>
  </si>
  <si>
    <t>Hoy es cuando sale Pablo Casado a defender que tiene que gobernar la lista mas votada, no?...</t>
  </si>
  <si>
    <t>When you are swinging, swing some more!</t>
  </si>
  <si>
    <t>#EleccionesAndalucía Hay que estar muy atentos. En estos momentos dos personajes clave están hablando ante la prensa: Pablo Casado, líder del PP y Susana Díaz, presidenta de la Junta de Andalucía (PSOE).</t>
  </si>
  <si>
    <t>ABC.es</t>
  </si>
  <si>
    <t>🔵 #DIRECTO Sigue en vídeo la comparecencia de Pablo Casado  #streaming</t>
  </si>
  <si>
    <t>http://ver.abc.es/tbfk21</t>
  </si>
  <si>
    <t>Diario ABC. También en https://www.abc.es https://www.facebook.com/ABCes/ https://www.instagram.com/abc_diario/ https://www.linkedin.com/company/diario-abc/</t>
  </si>
  <si>
    <t>rober</t>
  </si>
  <si>
    <t>Que esta gente diga que "el efecto Pablo Casado es imparable" y celebren un posible gobierno con Vox me da entre asco y asco RT @ppsanse: 👏Enhorabuena a @JuanMa_Moreno y al @ppandaluz Hoy gana Andalucía. Vuelco histórico en una Comunidad que tiene una oportunidad de oro para prosperar tras 40 años de régimen socialista. El efecto @pablocasado_ es imparable. #EleccionesAndalucía #AndaluciaL6</t>
  </si>
  <si>
    <t>https://twitter.com/ppsanse/status/1069345622283698177</t>
  </si>
  <si>
    <t>https://pbs.twimg.com/media/DtcUJt1WsAE_0ey.jpg</t>
  </si>
  <si>
    <t>instagram: monntesinos</t>
  </si>
  <si>
    <t>jurar y prometer solo son verbos</t>
  </si>
  <si>
    <t>Pablo Casado ya ha hablado con Ciudadanos y Vox. Ve posible el cambio y piensa exigir que sea con @JuanMa_Moreno de presidente. Lo ha dicho aquí a puerta cerrada ante el Comité Ejecutivo Nacional del PP. Vía @Servimedia</t>
  </si>
  <si>
    <t>https://pbs.twimg.com/media/DtfkzuPXcAUucTE.jpg</t>
  </si>
  <si>
    <t>🇪🇸Joaquín L. Ramírez</t>
  </si>
  <si>
    <t>Andalucía: las elecciones las ha ganado Pablo Casado. ⁦Por ⁦@JuanSoler_⁩</t>
  </si>
  <si>
    <t>https://www.merca2.es/ha-ganado-pablo/</t>
  </si>
  <si>
    <t>N 36°44' 0'' / W 4°21' 0''</t>
  </si>
  <si>
    <t>Senador en Cortes. Abogado Portavoz Comisión Constitucional Grupo Popular. Presid. Cánovas Fundación &amp; Fundac. Orden de la Paz. #CasadoPRESIDENTE ESPAÑA 🇪🇸</t>
  </si>
  <si>
    <t>http://page.is/joaquin-l--ramirez</t>
  </si>
  <si>
    <t>masland50@eljusticiero2</t>
  </si>
  <si>
    <t>Los doctorados en Master falsos son Pablo Casado y Cristina Cifuentes. Ella imputada por falsificar y a Casado le aprueban por la cara 13 asignaturas de Derecho en 4 meses cuando las otras 12 le costó 4 años o más. ESOS SON LOS LISTOS. @Elcondederoca</t>
  </si>
  <si>
    <t>Bilbao, Spain</t>
  </si>
  <si>
    <t>Sir Ektor</t>
  </si>
  <si>
    <t>Hace un año me daba pánico el discurso camaleónico de Cuñadanos y en particular el cinismo de Albert Rivera. Hace 6 meses llegó Pablo Casado y empezó a hacerse más evidente lo que había tras la estudiada apariencia inofensiva de Rajoy. Ahora llegan las elecciones andaluzas y...</t>
  </si>
  <si>
    <t>Aficionado de todo y experto en nada.</t>
  </si>
  <si>
    <t>https://www.facebook.com/ektor.tilla.5</t>
  </si>
  <si>
    <t>lucía 1016 🐻⚡️ GRACIAS MARTA</t>
  </si>
  <si>
    <t>pablo casado habla de españa sin tener ni puta idea de ella lo peor es que fijo que llega a gobernar</t>
  </si>
  <si>
    <t>kp, 1d, lm, sm, mr</t>
  </si>
  <si>
    <t>14 12 18 🐼</t>
  </si>
  <si>
    <t>https://curiouscat.me/extralfred</t>
  </si>
  <si>
    <t>TORNILLOMAN</t>
  </si>
  <si>
    <t>Teresa Rodriguez dice que la culpa de que entre VOX es de Susana. Zapatero dice que la culpa es de Pablo Casado. Aquí que nadie haga autocrítica y sigan diciendo que es culpa de los otros, vais apañaos.</t>
  </si>
  <si>
    <t>MOLINA DE SEGURA (MURCIA)</t>
  </si>
  <si>
    <t>#TEAMLLOROS (ESPAÑA) #FOTOCHOP😎 #TONTERIAS3D #STIKERS TENGO TORNILLOS EN LA ESPALDA</t>
  </si>
  <si>
    <t>#EleccionesAndalucía En el bloque de las derechas Ciudadanos no es el único partido que ha dejado la moneda en el aire (pactar o no con Vox). Hace un par de horas Pablo Casado (PP) dijo lo siguiente:</t>
  </si>
  <si>
    <t>https://www.eldiario.es/politica/PP-constitucionalistas-justifica-muleta-Vox_0_842365847.html</t>
  </si>
  <si>
    <t>"Pablo Casado no va a pedir en esta ocasión que gobierne “la lista más votada”, ni tachará el futuro pacto de “alianza de perdedores en despachos oscuros”, ni de “gobierno frankenstein”. Ignacio Escolar.</t>
  </si>
  <si>
    <t>.F.E.R.</t>
  </si>
  <si>
    <t>Pablo Casado es lo más hipócrita y trepa que he visto en la vida. Pero oye siempre la culpa es de los demás.</t>
  </si>
  <si>
    <t>🎥</t>
  </si>
  <si>
    <t>MartaLlanos</t>
  </si>
  <si>
    <t>Quédate con quien te mire como Pablo Casado y Albert Rivera miran a VOX.</t>
  </si>
  <si>
    <t>Insta; martallanos97 .Periodisme UAB. Canal youtube➡️Llanostories</t>
  </si>
  <si>
    <t>¿Os acordáis cuando Pablo Casado defendía a ultranza que gobernara siempre la lista más votada?</t>
  </si>
  <si>
    <t>José Luis Sánchez</t>
  </si>
  <si>
    <t>Millán Astray-Pablo Casado-Pablo Casado-Millán Astray</t>
  </si>
  <si>
    <t>https://pbs.twimg.com/media/Dtfd3d3WsAEhCKC.jpg</t>
  </si>
  <si>
    <t>https://www.facebook.com/jl.sanchezgomez31</t>
  </si>
  <si>
    <t>Pedro M. Otero</t>
  </si>
  <si>
    <t>S.Vte.del Raspeig Alicante</t>
  </si>
  <si>
    <t>Ateo, de Izquierdas, Progresista, defensor de los derechos Humanos y de los Animales, lucho contra las Injusticias, Republicano.</t>
  </si>
  <si>
    <t>EFETV</t>
  </si>
  <si>
    <t>Pablo Casado analiza el resultado de las elecciones andaluzas</t>
  </si>
  <si>
    <t>https://www.pscp.tv/w/btUWIDFXZ0tnRFBYYXdXanZ8MWxQSnFkamRXa1BHYpvMv8zc1oavkYSi5ooollS42snMoyjDY0qPw0WKWaJ6</t>
  </si>
  <si>
    <t>La actualidad en vídeo de la Agencia EFE. La primera agencia de noticias en español y la cuarta del mundo.</t>
  </si>
  <si>
    <t>http://www.efe.com</t>
  </si>
  <si>
    <t>Dani</t>
  </si>
  <si>
    <t>Que curioso, hoy Pablo Casado no dice que tiene que gobernar la lista más votada.</t>
  </si>
  <si>
    <t>Bokerón Catetón</t>
  </si>
  <si>
    <t>Los nuevos jóvenes políticos como Casado o Rivera no tienen experiencia en política. No como Felipe González o Alfonso Guerra en su época, o el propio Pablo Iglesias, que venían de 3 décadas de liderar proyectos políticos.</t>
  </si>
  <si>
    <t>En lo alto de un cerro</t>
  </si>
  <si>
    <t>Típico cateto infravalorado malaguista desde que era un ternero. Tengo boina y bastón. Troleo a las gallinas del campo. También hablo del Real Madrid.</t>
  </si>
  <si>
    <t>Tato Atienza</t>
  </si>
  <si>
    <t>Ayer fuimos parte de ese día de cambio en Andalucía, gran trabajo de todo el equipo de personas que forman parte de esta familia. Pero el partido no ha hecho nada más que comenzar, ahora a por la alcaldía con Sebastián Pérez y luego con Pablo Casado. A seguir trabajando todos</t>
  </si>
  <si>
    <t>https://pbs.twimg.com/media/DtfW8MLX4AAg2tU.jpg</t>
  </si>
  <si>
    <t>rokoten</t>
  </si>
  <si>
    <t>Soy taurino y español y orgulloso de ambas cosas</t>
  </si>
  <si>
    <t>I've done it</t>
  </si>
  <si>
    <t>Techi CF 🎗️</t>
  </si>
  <si>
    <t>Pablo casado: tiene que gobernar la fuerza más votada También Pablo Casado: vamos a pactar con Cs y VOX para el cambio Æ Æ Æ🇪🇸🇪🇸 😍😍😍😍😍</t>
  </si>
  <si>
    <t>Barcelona, REPÚBLICA CATALANA</t>
  </si>
  <si>
    <t>Fan Club OFICIAL de la Presidenta Tetxi Cabrerà 🎗️♥️</t>
  </si>
  <si>
    <t>http://www.techipresidenta.cat</t>
  </si>
  <si>
    <t>http://www.youtube.com/watch?v=j_Ny6U3OzQI
https://www.veoinfo.com/pablo-casado-analiza-el-resultado-de-las-elecciones-andaluzas/</t>
  </si>
  <si>
    <t>UUCurry</t>
  </si>
  <si>
    <t>¿Os acordáis cuando dijo Pablo Casado que España iba a ser como California?</t>
  </si>
  <si>
    <t>Hola amigos, nueva cuenta...</t>
  </si>
  <si>
    <t>Jose Herrero Garcia</t>
  </si>
  <si>
    <t>Pablo Casado: "Vamos a hacer en Andalucía lo que hicimos en España" //cadenaser.com/emisora/2018/11/30/radio_cordoba/1543603194_695608.html?ssm=tw</t>
  </si>
  <si>
    <t>https://pbs.twimg.com/media/DtfV5sVWwAIjgyF.jpg</t>
  </si>
  <si>
    <t>Talavera d la reina</t>
  </si>
  <si>
    <t>un verato en Talavera</t>
  </si>
  <si>
    <t>Carlos Fernández</t>
  </si>
  <si>
    <t>A mí Abascal me parece un cateto brutal y un fascista pero es mucho más coherente que Pablo Casado. Es que Pablo Casado es la falta de principios hecha persona.</t>
  </si>
  <si>
    <t>Los mejores voladores son los peores caminantes</t>
  </si>
  <si>
    <t>María Jesús Güemes</t>
  </si>
  <si>
    <t>Aplausos a Juan Manuel Moreno en el Comité Ejecutivo Nacional del PP. Le han sentado al lado de Pablo Casado (no es lo habitual). Esto es una fiesta. Ha venido hasta Feijóo, no digo más... ;)</t>
  </si>
  <si>
    <t>Periodista en la Cadena Ser. ExPúblico. ExTiempo. Aquí, opiniones personales. Sin más...</t>
  </si>
  <si>
    <t>http://cadenaser.com/m/autor/maria_jesus_guemes_moragon/a/</t>
  </si>
  <si>
    <t>Ozpin Targaryen (Endgame -138)</t>
  </si>
  <si>
    <t>Y Pablo Casado es una prueba de ello, que se lo digan a Soraya RT @eldiarioes: El giro del discurso de Casado y Rivera: ya no piden que gobierne la lista más votada tras las elecciones andaluzas</t>
  </si>
  <si>
    <t>https://twitter.com/eldiarioes/status/1069554503345676288
https://www.eldiario.es/rastreador/Casado-Rivera-gobierne-elecciones-andaluzas_6_842075803.html</t>
  </si>
  <si>
    <t>https://pbs.twimg.com/media/DtfSG62WkAAlvI5.jpg</t>
  </si>
  <si>
    <t>Beacon Academy</t>
  </si>
  <si>
    <t>Youtuber en progreso y superviviente del chasquido de Thanos - #Miraculer - ¿Preparado para Vengadores: Endgame? ¡NO!</t>
  </si>
  <si>
    <t>https://www.youtube.com/user/nanor28/featured</t>
  </si>
  <si>
    <t>Una de hemeroteca para Pablo Casado</t>
  </si>
  <si>
    <t>ÚLTIMA HORA: Pablo Casado defiende que una "alianza de perdedores fachas" gobierne en Andalucía.</t>
  </si>
  <si>
    <t>Pablo Casado, eufórico por "liderar el cambio" tras el fin de la hegemonía del PSOE en Andalucía  vía @elmundoes</t>
  </si>
  <si>
    <t>Carlos García</t>
  </si>
  <si>
    <t>http://ow.ly/kpuG30mQa2S</t>
  </si>
  <si>
    <t>Casado, antes de Andalucía: “Queremos que gobierne la lista más votada” via @El_Plural  El PP lleva años cargando contra el “pacto de perdedores” de PSOE y Podemos</t>
  </si>
  <si>
    <t>Adrian Elliot 🇪🇺</t>
  </si>
  <si>
    <t>Pablo Casado: "que gobierne el partido más votado". jajaja jijiji.</t>
  </si>
  <si>
    <t>https://elpais.com/politica/2018/07/31/actualidad/1532990868_915948.html</t>
  </si>
  <si>
    <t>Tengo mi opinión pero no la debo a nadie. Intenta convencerme, pero con hechos, no ensoñaciones. Consultor de RRPP. Leo mucho, pero sin tragar el humo.</t>
  </si>
  <si>
    <t>http://cabinaeneltiempo.blogspot.com</t>
  </si>
  <si>
    <t>¿Ha exigido ya Pablo Casado que gobierne en Andalucía la lista más votada, o todavía no? #FuturoAndalucíaARV</t>
  </si>
  <si>
    <t>INDEFENSO</t>
  </si>
  <si>
    <t>Gracias, Atresmedia: la estrategia de laSexta de linchar a VOX acaba con Susana Díaz y deja temblando a Sánchez Gran victoria de Pablo Casado consiguiendo mantener vivo al PP pese a la calamidad de Juanma @osquitar13</t>
  </si>
  <si>
    <t>https://pbs.twimg.com/media/DtfOZfCWsAANf23.jpg</t>
  </si>
  <si>
    <t>DIRECTO PP: Rueda de prensa de PABLO CASADO tras las ELECCIONES ANDALUZAS 2018</t>
  </si>
  <si>
    <t>http://www.youtube.com/watch?v=Zwh70n8jDnc
https://www.veoinfo.com/directo-pp-rueda-de-prensa-de-pablo-casado-tras-las-elecciones-andaluzas-2018/</t>
  </si>
  <si>
    <t>Rafa Píccola</t>
  </si>
  <si>
    <t>Recordáis cuando el #corruPPto repetía el mantra de que tenía que gobernar la lista más votada? Casado incluso dijo que registraría un proyecto de Ley Órganica para que así fuese. Ahora en Andalucía veremos "pactos de perdedores" #PPodrido #ilegalizacionpp</t>
  </si>
  <si>
    <t>Emocionar, divertir, inspirar... es lo que pretendo con mi magia y mis sombras chinas; con los cursos, conferencias... y lograr algún día la maestría.</t>
  </si>
  <si>
    <t>http://www.rafapiccola.com</t>
  </si>
  <si>
    <t>CalaixInformatiu</t>
  </si>
  <si>
    <t>Casado, antes de Andalucía: “Queremos que gobierne la lista más votada”... El PP lleva años cargando contra el “pacto de perdedores” de PSOE y Podemos via @El_Plural</t>
  </si>
  <si>
    <t>Informatiu de Calaix de Sastre, la informació que alguns no voldrien veure mai per la xarxa.</t>
  </si>
  <si>
    <t>http://calaixinformatiu.wordpress.com</t>
  </si>
  <si>
    <t>Santiago Pastor</t>
  </si>
  <si>
    <t>Estoy hasta el gorro. Menos mal que me queda la ficción. Instagram @spastorm Pinterest spastormartinez</t>
  </si>
  <si>
    <t>Leonardo Fernández J</t>
  </si>
  <si>
    <t>Dicho de una manera suave: recomendaría a Pablo Casado que ¿leyera? la biografía de Franz von Papen antes de dar dar brincos de alegría y tomara nota, mucha nota...</t>
  </si>
  <si>
    <t>Catedrático de Matemática Aplicada en la Universidad Politécnica de Madrid.</t>
  </si>
  <si>
    <t>http://dcain.etsin.upm.es/lfjcur.htm</t>
  </si>
  <si>
    <t>Astrid Portero</t>
  </si>
  <si>
    <t>A ver dónde queda ahora Pablo Casado con su “tini qi gibirnir li listi mis vitidi” y sus deseos de querer aprobar una ley que prohibiera lo contrario. A ver. #EleccionesAndalucia</t>
  </si>
  <si>
    <t>Helsinki, Finlandia</t>
  </si>
  <si>
    <t>Political analyst • He escrito en @esglobal_org, @elordenmundial, @beerspolitics, @xataka • Artículos ES/EN: astridportero@gmail.com • #brexit #europeanunion</t>
  </si>
  <si>
    <t>http://www.astridportero.com</t>
  </si>
  <si>
    <t>otelium</t>
  </si>
  <si>
    <t>Que bien @JavierMaroto tu partido va a pactar con otro partido explícitamente homofobo...y tu ayer detrás de Pablo casado aplaudiendo... Eso se llama respetarse a uno mismo</t>
  </si>
  <si>
    <t>Cadiz</t>
  </si>
  <si>
    <t>We can be heroes,forever and ever....</t>
  </si>
  <si>
    <t>JAVIER JUAN TUR</t>
  </si>
  <si>
    <t>Andaluces, ya está aquí el fascismo de la extrema derecha, pronto os ayudaremos a salir a las calles, para suplicar por un trozo de pan. Pablo Casado: "Vamos a hacer en Andalucía lo que hicimos en España"</t>
  </si>
  <si>
    <t>http://cadenaser.com/emisora/2018/11/30/radio_cordoba/1543603194_695608.html?ssm=tw</t>
  </si>
  <si>
    <t>https://pbs.twimg.com/media/DtfIHEnXQAAqgh5.jpg</t>
  </si>
  <si>
    <t>REVOLUCIONARIO, ANTISISTEMA, CIUDADANO LIBRE.</t>
  </si>
  <si>
    <t>Jota POV</t>
  </si>
  <si>
    <t>“Vox es el spin-off del PP”. Javier Aroca reconoce el mérito de Pablo Casado en la campaña de Andalucía.</t>
  </si>
  <si>
    <t>https://jotapov.com/2018/12/03/vox-es-el-spin-off-del-pp-javier-aroca-reconoce-el-merito-de-pablo-casado-en-la-campana-de-andalucia/</t>
  </si>
  <si>
    <t>https://pbs.twimg.com/media/DtfFjNaU4AAQGUY.jpg</t>
  </si>
  <si>
    <t>Youtuber, pantuflólogo con certificado oficial. Editor de chorradas sensatas en forma de simulación y vecino del que elige al alcalde en http://www.jotapov.com</t>
  </si>
  <si>
    <t>https://www.youtube.com/channel/UC2OPRvShCwMeO__KHVyPl9w?sub_confirmation=1</t>
  </si>
  <si>
    <t>Para Pablo Casado, está bien pactar con VOX porque allí milita Ortega Lara. Y ya está, el fascismo blanqueado por un tecnicismo. Todo en orden.</t>
  </si>
  <si>
    <t>Y Casado muy crecidito él. Tanto monta, monta tanto Santiago Casado como Pablo Abascal.</t>
  </si>
  <si>
    <t>https://pbs.twimg.com/media/DtfEF6tXcAI43EB.jpg</t>
  </si>
  <si>
    <t>geopoliting</t>
  </si>
  <si>
    <t>#Pablo #Casado y los #votos de Vox</t>
  </si>
  <si>
    <t>https://geopoliting.com/17RnJ</t>
  </si>
  <si>
    <t>Colombia</t>
  </si>
  <si>
    <t>Sacamos la paja y dejamos la información</t>
  </si>
  <si>
    <t>http://geopoliting.com</t>
  </si>
  <si>
    <t>Pablo Casado dice que los inmigrantes vienen a delinquir. Lo dice el líder de un partido que está de mierda hasta las trancas. Es un mamarracho" 💬 @TeresaRodr_ #AdelanteAndalucía</t>
  </si>
  <si>
    <t>Manuel Lopez</t>
  </si>
  <si>
    <t>El ser humano es maravilloso. ¿Y el corte de Pablo Casado pidiendo lo mismo no hace mucho? Verdaderamente maravilloso todo RT @rouco64: 🔴🔴🔴"Pa mear y no echar gota" ESCUCHEN ahora a Sánchez pidiendo que se deje gobernar a la lista más votada en Andalucía #EleccionesAndalucía 😂😂😂😂😂😂😂😂😂😂😂😂😂🔻🔻🔻</t>
  </si>
  <si>
    <t>https://twitter.com/rouco64/status/1069315563745435648</t>
  </si>
  <si>
    <t>pic.twitter.com/SmFHB9RbLp</t>
  </si>
  <si>
    <t>Málaga,Buenos Aires,Madrid.4-4(rombo)-2.Abogado.Vino,cerveza y prosecco.RM,Juve,River,Benfica,la Fabrica,la Demencia,e Isco</t>
  </si>
  <si>
    <t>Marmota Scrooge</t>
  </si>
  <si>
    <t>El PP pierde más de 300.000 votos en Andalucía. Pablo Casado dijo hace 3 días que lo que no podía hacer era insultar a sus ex votantes. Pero seguimos sin atar cabos.</t>
  </si>
  <si>
    <t>Rodeada de fantasmas</t>
  </si>
  <si>
    <t>No estoy cantando villancicos, estoy invocando a Satán Claus.</t>
  </si>
  <si>
    <t>http://marmotamaligna.wordpress.com</t>
  </si>
  <si>
    <t>misfit</t>
  </si>
  <si>
    <t>California, el modelo de Pablo Casado para españa. Y vamos camino. RT @Helena_VillarRT: Hoy y mañana RT emite el programa en profundidad que hicimos en #SkidRow. Un tramo de cuatro millas en el centro de Los Ángeles, donde más de 4 mil personas viven en la calle. Si la esperanza de vida media en el país es de 78 años, allí no llega a los 50.</t>
  </si>
  <si>
    <t>https://twitter.com/helena_villarrt/status/1068544713849036803
https://actualidad.rt.com/programas/rt_reporta/297429-skid-row-infierno-primer-mundo</t>
  </si>
  <si>
    <t>https://pbs.twimg.com/media/DtQ4QMxXcAAWaN0.jpg</t>
  </si>
  <si>
    <t>Lost in the supermarket</t>
  </si>
  <si>
    <t>El cabo austríaco cabalga de nuevo y conviene no olvidar que el fascismo es sólo otra cara del Capital | We are the flowers in the dustbin | #RBU</t>
  </si>
  <si>
    <t>https://www.youtube.com/watch?v=fsJrOonCg3A</t>
  </si>
  <si>
    <t>El Diañu Burlón</t>
  </si>
  <si>
    <t>Zapatero: "El PP de Casado abrió la puerta a la extrema derecha en Andalucía"  La puerta la abrió Pedro Sánchez al pactar con Podemos y con los Independentistas. Y Pablo Iglesias tratando los Presupues Grales. con los presos independentistas</t>
  </si>
  <si>
    <t>https://www.elplural.com/politica/elecciones-andalucia-zapatero-resultados-analisis-cis-tezanos-patido-popular-extrema-derecha_207435102</t>
  </si>
  <si>
    <t>https://pbs.twimg.com/media/Dte-aeWXQAAdQvG.jpg</t>
  </si>
  <si>
    <t>Sí porque acato los resultados de la soberanía popular manifestados constitucionalmente en las urnas, según Podemos y afines, soy un fascista. Pues sí, lo seré.</t>
  </si>
  <si>
    <t>Pablo Casado anuncia que Juanma Moreno se va a presentar a la sesión de investidura: "El mandato de los andaluces es claro: han pedido un cambio, encargando al PP que configure una mayoría alternativa para acabar con cuatro décadas de malas...</t>
  </si>
  <si>
    <t>https://www.facebook.com/nuevasgeneraciones.calahorra/posts/927945760709507</t>
  </si>
  <si>
    <t>Xisca The Warrior</t>
  </si>
  <si>
    <t>Mi madre me dice que Pdro es tonto y paradito, q Rivera y Casado le parecen muy listos, Albert además es gracioso porque le gustó q se enfrentara con Pujol. Y que Pablo habló como si empezara una guerra...menos mal q la frenan sus simpatías catalanistas, pero serán suficiente?</t>
  </si>
  <si>
    <t>Isla Olvidada en Fistro Jurídico Of Spain, Eternidad de las Magical Paradas de Larga Duración</t>
  </si>
  <si>
    <t>Vamos a quemar toda la ciudad y será sólo de Xisca ♀️✨📚-Izquierda Fanfic http://xiscally.blogspot.com.es/ http://xiscthulhu.tumblr.com/</t>
  </si>
  <si>
    <t>https://www.wattpad.com/user/Xiscthulhu</t>
  </si>
  <si>
    <t>Ana Isabel Cordobés</t>
  </si>
  <si>
    <t>Podría pasar por un discurso reciente de Pablo Casado, Rivera o Abascal, ¿verdad? Este fue el discurso que Franco dio en el Monumento a los Caídos de Iruña hace 66 años, el 4 de diciembre de 1952.</t>
  </si>
  <si>
    <t>https://pbs.twimg.com/media/Dte54IkWsAEDau8.jpg</t>
  </si>
  <si>
    <t>Pamplona/Iruñea</t>
  </si>
  <si>
    <t>Periodista. Dirijo @cuartopoder. Enseño en @UNIRuniversidad y dateo en @LOS40. Contacto: anaicordobes@gmail.com</t>
  </si>
  <si>
    <t>https://anacordobes.wordpress.com/cursos-periodismo-datos-transmedia/</t>
  </si>
  <si>
    <t>Pablo Casado comparecerá en rueda de prensa la 13:30. Síguelo en el</t>
  </si>
  <si>
    <t>http://independiente.com</t>
  </si>
  <si>
    <t>Jorge Marazu</t>
  </si>
  <si>
    <t>El parecido (por momentos) entre Jaime ( @JulianLopez ) y Pablo Casado es impactante. #SuperLopez</t>
  </si>
  <si>
    <t>Ávila</t>
  </si>
  <si>
    <t>Ávila. Canciones y más canciones. 3 discos: #LaColeccionDeRelojes #Escandinavia #Luminica Universal Music Spain</t>
  </si>
  <si>
    <t>En política las cosas cambian en un momento. Fíjense en Juan Manuel Moreno. El sábado, la mayoría de medios, lo daban por amortizado y aseguraban que Pablo Casado se lo iba a quitar de encima. Y el domingo por la noche, que será próximo presidente de Andalucia.</t>
  </si>
  <si>
    <t>Esfera</t>
  </si>
  <si>
    <t>Felicidades @cecilos Ya te felicité 2 veces, pero acabo de ver un tweet de Pablo Casado (el bueno, no el fan de Paquito); animando a la gente a que te felicite más aún. Espero que lo pasases muy bien. 🤗</t>
  </si>
  <si>
    <t>pic.twitter.com/kzrULlaWrT</t>
  </si>
  <si>
    <t>🌚Escribo sobre juegos en @comicoffesp (a falta de curro).</t>
  </si>
  <si>
    <t>http://www.comicoff.es/category/extras/videojuegos/</t>
  </si>
  <si>
    <t>PUTOPP.com</t>
  </si>
  <si>
    <t>Pablo Casado ha decidido que la ultraderecha es un socio legítimo y natural para llegar al poder, alejándose de la defensa férrea de la democracia liberal hecha por la derecha alemana y francesa</t>
  </si>
  <si>
    <t>Memòria</t>
  </si>
  <si>
    <t>Plataforma Unificada contra la Trajectòria Oligàrquica del PP</t>
  </si>
  <si>
    <t>http://www.putopp.com</t>
  </si>
  <si>
    <t>skakeo fanzine</t>
  </si>
  <si>
    <t>¿Todavía no se han dado cuenta en el PP que su política de enzarpe y lindando la ultraderecha le está haciendo perder votos hacia VOX y C´s? Es que vemos a Pablo Casado tan crecido que igual no se está percatando del desangre y lo que está motivando. #LaCafeteraVoxonaro</t>
  </si>
  <si>
    <t>Fanzine cochambroso que naciera allá por 1992 en papel y ahora sobrevive como puede en intenne.</t>
  </si>
  <si>
    <t>http://skakeo.blogspot.com/</t>
  </si>
  <si>
    <t>Buenos Días Madrid</t>
  </si>
  <si>
    <t>El presidente del PP, Pablo Casado, ha anunciado este domingo negociaciones para que el Partido Popular gobierne en Andalucía tras unos comicios.</t>
  </si>
  <si>
    <t>http://telemd.es/fl85q2</t>
  </si>
  <si>
    <t>El programa de las mañanas de @Telemadrid presentado por @Veronicasanztv y @ricardoaltable con tráfico, tiempo, actualidad... Lunes a Viernes a las 7:00 horas</t>
  </si>
  <si>
    <t>http://www.telemadrid.es/buenosdiasmadrid</t>
  </si>
  <si>
    <t>Fben Анархист ❤️💛💜</t>
  </si>
  <si>
    <t>(((Miguel)))</t>
  </si>
  <si>
    <t>Si Pablo Casado es inteligente se quitará esta rémora que tantos votos da a los demás RT @jmlopezzafra: Ahora mismo @JavierMaroto en @MasDeUno sugiriendo que con Rajoy el resultado en Andalucía hubiese sido aún peor. Recuerdo que el PP ha perdido 250.000 votos.</t>
  </si>
  <si>
    <t>https://twitter.com/jmlopezzafra/status/1069505947784151041</t>
  </si>
  <si>
    <t>MADrid</t>
  </si>
  <si>
    <t>Fanático de la coherencia en busca de una verdad basada en datos, no en titulares.</t>
  </si>
  <si>
    <t>Nación Paleña</t>
  </si>
  <si>
    <t>“Los países mejor cultivados no son los más fértiles sino los más libres”. Montesquieu</t>
  </si>
  <si>
    <t>Juanma Vidal</t>
  </si>
  <si>
    <t>Jorge Matías</t>
  </si>
  <si>
    <t>Una cosa que he dicho bastante es que ante discursos similares, es decir, Pablo Casado y su trumpetización y Vox, la gente rechaza imitaciones, y bueno, a los hechos me remito.</t>
  </si>
  <si>
    <t>Luna de Endor</t>
  </si>
  <si>
    <t>Periodista y Productor de TV http://es.linkedin.com/in/juanmavidal ¡Nunca, nunca, nunca te rindas!</t>
  </si>
  <si>
    <t>Ídolo del extrarradio.</t>
  </si>
  <si>
    <t>Alberto Orozco</t>
  </si>
  <si>
    <t>Oír a Pablo Casado y no saber muy bien si es el Presidente del #PP o el líder de la ultraderecha española que, después del franquismo, parece que volverá a tener agenda pública.</t>
  </si>
  <si>
    <t>http://cadenaser.com/programa/2018/11/29/hora_25/1543522774_429145.html</t>
  </si>
  <si>
    <t>Ronda, España</t>
  </si>
  <si>
    <t>Tercer Teniente de Alcaldía del Ayuntamiento de Ronda. Vicesecretario General de la Agrupación Socialista de Ronda. aorozco@ayuntamientoronda.es</t>
  </si>
  <si>
    <t>http://facebook.com/alberto.orozcoperujo</t>
  </si>
  <si>
    <t>Sergio España Fente</t>
  </si>
  <si>
    <t>“Que gobierne la lista más votada.Pacto de perdedores”.Pablo Casado y Albert Rivera dixit. “Recuperar la ilusión”.Susana Díaz y Pablo Iglesias dixit. ¡No tienen vergüenza! Mientras la ultra derecha que quiere eliminar las CCAA entra en el Parlamento Andaluz.</t>
  </si>
  <si>
    <t>Galiza, Spain</t>
  </si>
  <si>
    <t>Graduado en ADE y en Derecho.Convencido del agotamiento del sistema.Madridista de los que ven los partidos y no los resúmenes.</t>
  </si>
  <si>
    <t>Gabriel Garroum Pla</t>
  </si>
  <si>
    <t>“Formaremos gobierno con quien sea, nos da igual, lo importante es alejar el fantasma del catalanismo de aquí”, decía Pablo Casado , “con un mono que llevara una navaja en la boca y un tatuaje de Hitler en la espalda porque todo es hablarlo”. RT @elmundotoday: La derecha consigue frenar al independentismo catalán en Andalucía</t>
  </si>
  <si>
    <t>https://twitter.com/elmundotoday/status/1069369513567797249
https://buff.ly/2G4M5a2</t>
  </si>
  <si>
    <t>https://pbs.twimg.com/media/Dtcp56uWkAUGkL1.jpg</t>
  </si>
  <si>
    <t>London | Barcelona | Syria</t>
  </si>
  <si>
    <t>Catalan (Barcelona) &amp; Syrian (Aleppo) | Political Analyst @UPFBarcelona @SOAS | Doctoral researcher on IR, War and #Syria at @KingsCollegeLon @warstudies</t>
  </si>
  <si>
    <t>http://Reorientats.com</t>
  </si>
  <si>
    <t>Carracuca</t>
  </si>
  <si>
    <t>Pablo Casado, tú lo cumplirás? o harás un pacto de perdedores... RT @PilarHLuc: Supongo que ahora es cuando Pablo Casado y el PP en bloque declaran que tiene que gobernar la lista más votada. Digo yo 🤔 #EleccionesAndalucia</t>
  </si>
  <si>
    <t>https://twitter.com/PilarHLuc/status/1069371632945414147</t>
  </si>
  <si>
    <t>pic.twitter.com/Dmy69l3BMy</t>
  </si>
  <si>
    <t>Más vale un loco con un boli, que un cuerdo con un borrador</t>
  </si>
  <si>
    <t>El fonil</t>
  </si>
  <si>
    <t>Según Pablo Casado, sí. RT @j_mtnez_acebo: @uby77 Ahora resulta que debe gobernar el más votado? Pues si que hay Ley del Fonil</t>
  </si>
  <si>
    <t>https://twitter.com/j_mtnez_acebo/status/1069379585895215105</t>
  </si>
  <si>
    <t>Refugiado</t>
  </si>
  <si>
    <t>Luchando por derogar la Ley del fonil.</t>
  </si>
  <si>
    <t>Bogando por la red</t>
  </si>
  <si>
    <t>El domingo sabremos si utilizar el discurso de la extrema derecha le ha valido la pena a Pablo Casado... O no.</t>
  </si>
  <si>
    <t>https://blogs.deia.eus/bogandoporlared/2018/12/01/habra-valido-la-pena-pablo/</t>
  </si>
  <si>
    <t>La columna de @ikermerodio. Todos los días en @deia_bizkaia, en @NotGip y en el blog.</t>
  </si>
  <si>
    <t>http://blogs.deia.com/bogandoporlared/</t>
  </si>
  <si>
    <t>"Apenas cinco meses después de una moción de censura, los andaluces le ha dicho un 'no' rotundo a Pedro Sánchez. No confían ni en...</t>
  </si>
  <si>
    <t>https://www.antena3.com/noticias/espana/pablo-casado-primera-piedra-pedro-sanchez-fracaso-historico-video_201812025c045f3f0cf2d96fe2f52295.html</t>
  </si>
  <si>
    <t>Francesc</t>
  </si>
  <si>
    <t>Que dice Pablo Casado, vamos a hacer con Andalucía lo mismo que hicimos con España. Expoliarla???</t>
  </si>
  <si>
    <t>Català de la boira. Bastant gran i en moto. A estones al Twitter. De vegades opino de política. Fem equips per reciclatge.</t>
  </si>
  <si>
    <t>Última opinión de Pablo Casado sobre las elecciones en Andalucía: "Para Gobierno más votado, el que tengo aquí colgado". #LaCafeteraVoxonaro</t>
  </si>
  <si>
    <t>walter santeliz m</t>
  </si>
  <si>
    <t>Me ha gustado un vídeo de @YouTube ( - Pablo Iglesias, Santiago Abascal, Pablo Casado, y Rivera, hablan tras</t>
  </si>
  <si>
    <t>venezuela</t>
  </si>
  <si>
    <t>Violeta Assiego</t>
  </si>
  <si>
    <t>Parece que los votantes de ultraderecha distinguen entre el original y la copia. El PP más escorado a la derecha ha perdido 7 escaños en estas #EleccionesAndalucia. No me parece un buen resultado para el partido de Pablo Casado</t>
  </si>
  <si>
    <t>Investigación, formación, análisis y comunicación - Vulnerabilidad social y DDHH - Me sumo a proyectos que me creo - Curranta, activista, abogada... Free(lance)</t>
  </si>
  <si>
    <t>https://www.linkedin.com/in/violetaassiego</t>
  </si>
  <si>
    <t>XAP</t>
  </si>
  <si>
    <t>A Pablo Casado le van a comer el bocata por el centro derecha, y no lo ve venir.</t>
  </si>
  <si>
    <t>Es Castell, España</t>
  </si>
  <si>
    <t>En una lucha de banderas no hay lugar para la comprensión.</t>
  </si>
  <si>
    <t>JRR Mundo</t>
  </si>
  <si>
    <t>Pablo Casado: "El Partido Popular ha vuelto"  vía @YouTube</t>
  </si>
  <si>
    <t>https://youtu.be/Mi1GENftMQ0</t>
  </si>
  <si>
    <t>Avilés, España</t>
  </si>
  <si>
    <t>Noticias, deportes, entretenimiento, música y mucho más. Disfruta y mantente conectado a JRR Mundo! ► Sígueme en YouTube: https://bit.ly/2FO0DFM</t>
  </si>
  <si>
    <t>https://bit.ly/2AqZmY2</t>
  </si>
  <si>
    <t>Mente con purpurina ☯️, 😂 &amp; 💚🦖</t>
  </si>
  <si>
    <t>Pablo Casado exactamnt por q está contento? Pq los votos de Vox no eran del PSOE, eh? Eran del PP, q se ha dado un ostia considerable... y ojo con las uniones fachosas pq, a nivel nacional, perderían a todos sus moderados (q, aunq no lo parezca, son más) a favor de Ciudadanos</t>
  </si>
  <si>
    <t>Y qué más te da...</t>
  </si>
  <si>
    <t>Mi mente necesita descansar... | 💙❤ | JODIDAMENTE RODEA #MOÑACATO🍊😍😈🍍 | PIENSA Y DEJA PENSAR | LIBERTAD VITAL | LIFE GOES ON, MAMI 😂 | NO RAIN, NO 🌈</t>
  </si>
  <si>
    <t>Peio H. Riaño</t>
  </si>
  <si>
    <t>Pablo Casado: “Estamos eufóricos. Esto es histórico”.</t>
  </si>
  <si>
    <t>https://pbs.twimg.com/media/DtejxLUWsAAONRg.jpg</t>
  </si>
  <si>
    <t>Cultura [política]</t>
  </si>
  <si>
    <t>Juanma Moreno se presentará a la investidura para presidente  El líder andaluz del PP agradece el apoyo que le ha prestado Pablo Casado . «Han acabado cuarenta años de hegemonía socialista en Andalucía», avisa Ir a la fuente Author: Agencias Powered by W…</t>
  </si>
  <si>
    <t>https://ift.tt/2SoCv3e</t>
  </si>
  <si>
    <t>prnoticias</t>
  </si>
  <si>
    <t>Tras insinuar que “votar a VOX es votar al PSOE”, ahora Pablo Casado se muestra dispuesto a pactar con los de Santiago Abascal #EleccionesAndalucia</t>
  </si>
  <si>
    <t>http://prnoticias.com/comunicacion/comunicacion-politica/20170924-los-bandazos-de-casado-de-diferenciar-al-pp-de-vox-a-abrirse-a-pactar</t>
  </si>
  <si>
    <t>https://pbs.twimg.com/media/DteiNJFXQAEIYDD.jpg</t>
  </si>
  <si>
    <t>Medio online especializado en #Medios #Comunicación, #Marketing y #Periodismo. Síguenos también en https://www.facebook.com/prnoticias/</t>
  </si>
  <si>
    <t>http://www.prnoticias.com</t>
  </si>
  <si>
    <t>La única esperanza que queda es que Merkel levante el interfono y le diga a Pablo Casado que como pacte con nazis le corta las bolinchis.</t>
  </si>
  <si>
    <t>Los Replicantes</t>
  </si>
  <si>
    <t>¿Pedro Sánchez está detrás del auge de VOX en los medios de comunicación?</t>
  </si>
  <si>
    <t>http://bit.ly/2K5NA6u</t>
  </si>
  <si>
    <t>https://pbs.twimg.com/media/DtcrexSXcAAYUG4.jpg</t>
  </si>
  <si>
    <t>Las noticias del futuro. Otra forma de ver la política, la economía, la ciencia, la tele, el cine, la música o la vida</t>
  </si>
  <si>
    <t>http://www.losreplicantes.com</t>
  </si>
  <si>
    <t>EP Nacional</t>
  </si>
  <si>
    <t>#LoMásVisto | Pablo Casado anuncia negociaciones para gobernar Andalucía y ve ratificado su proyecto frente al "fracaso" de Pedro Sánchez</t>
  </si>
  <si>
    <t>https://pbs.twimg.com/media/DtcfoOAX4AYeYKN.jpg</t>
  </si>
  <si>
    <t>https://goo.gl/YucRp4</t>
  </si>
  <si>
    <t>pic.twitter.com/djauDqrn89</t>
  </si>
  <si>
    <t>Twitter oficial del servicio de noticias Nacional de la agencia de noticias Europa Press</t>
  </si>
  <si>
    <t>http://www.europapress.es/nacional/</t>
  </si>
  <si>
    <t>Espero que a Pablo Casado no se le ocurra exigir que en Andalucía gobierne la lista más votada. #LaCafeteraVoxonaro</t>
  </si>
  <si>
    <t>Sisar</t>
  </si>
  <si>
    <t>Según las encuestas, @sanchezcastejon sube. Lo mismo no son las izquierdas, eh @susanadiaz. También sube Carmena. Lo mismo Susana es al Psoe lo que Pablo a Podemos. Y Casado al PP. Y @JuanMarin_Cs no cae tan sumamente mal.</t>
  </si>
  <si>
    <t>Beta Tester de la vida. Permanent e-learning for continuos teaching.</t>
  </si>
  <si>
    <t>Marisa.Com ♀</t>
  </si>
  <si>
    <t>A Pablo Casado se le ha caído la parte en la que dice “bueno, unos más iguales que otros”. RT @pablocasado_: España es un Estado de Derecho donde todos somos iguales ante la ley. Los delitos tienen consecuencias y la justicia actúa con independencia y sin presiones. Nuestra integridad territorial y unidad nacional es innegociable.</t>
  </si>
  <si>
    <t>https://twitter.com/pablocasado_/status/1068910419379740674
https://www.abc.es/espana/catalunya/abci-jordi-sanchez-y-jordi-turull-sopesan-hacer-huelga-hambre-para-protestar-contra-201812011006_noticia.html</t>
  </si>
  <si>
    <t>Spanish immigrant in England, full-time dreamer, part-time writer, feminist always.</t>
  </si>
  <si>
    <t>Casiraghi</t>
  </si>
  <si>
    <t>Igual Pablo Casado está afiliado en el partido erróneo</t>
  </si>
  <si>
    <t>intercambiador plaza castilla</t>
  </si>
  <si>
    <t>physically i'm here, mentally i'm in nashville</t>
  </si>
  <si>
    <t>http://www.youtube.com/watch?v=zHOioLy8Uh8</t>
  </si>
  <si>
    <t>Emilio Torres Martín</t>
  </si>
  <si>
    <t>Declaraciones de Pablo Casado. 😂 RT @Mhemeroteca: Cuando el PP pedía que se respetara "la lista más votada para formar gobierno" ¿y ahora? #AndaluciaL6 #EleccionesAndalucia #Elecciones2D</t>
  </si>
  <si>
    <t>Corazón anarquista, cortex republicano.</t>
  </si>
  <si>
    <t>El Rincón de la Esquina</t>
  </si>
  <si>
    <t>Pablo Casado me sigue y me lee en instagram. Nice.</t>
  </si>
  <si>
    <t>https://pbs.twimg.com/media/DtecRNYWoAAtCiv.jpg</t>
  </si>
  <si>
    <t>Fundador del primer club de fans de taburete en la Guayana francesa.</t>
  </si>
  <si>
    <t>Ahora es cuando Pablo Casado y Albert Rivera vuelven a exigir que en Andalucía tiene que gobernar la lista más votada.</t>
  </si>
  <si>
    <t>Pedro Angel</t>
  </si>
  <si>
    <t>Está claro el juego; "o cogéis esto que tenemos (neoliberalismo brutal), o prepararos para el fascismo". Ese es el mensaje del sistema. Escuchad a Pablo Casado ayer.</t>
  </si>
  <si>
    <t>Tierra,Europa,España,Asturias...con el #15M</t>
  </si>
  <si>
    <t>AMeLino, solamente.</t>
  </si>
  <si>
    <t>Lo que cambia és el nombre de "reconquista", la extrema derecha ya la conocemos de la mano de AZNAR, PABLO CASADO, ROSA DÍEZ, ALBERT RIVERA, LA RAZÓN, JIMÉNEZ LOSANTOS, OK DIARIO, ARCADI ESPADA, FERNÁNDEZ DÍAZ, LLARENA...</t>
  </si>
  <si>
    <t>https://pbs.twimg.com/media/DteYPdsWsAA6yCj.jpg</t>
  </si>
  <si>
    <t>Alcantarilla</t>
  </si>
  <si>
    <t>Dos titulaciones en ingenieria sin terminar y un master en seguridad informática y auditor de riesgos por la URJC.</t>
  </si>
  <si>
    <t>https://youtu.be/gyYR7hyTdFI</t>
  </si>
  <si>
    <t>Resultados elecciones andaluzas: Pablo Casado, eufórico por "liderar el cambio" tras el fin de la hegemonía del PSOE en Andalucía | Andalucía</t>
  </si>
  <si>
    <t>María Blanco</t>
  </si>
  <si>
    <t>⏰. Pablo Casado reúne al Comité Ejecutivo Nacional para analizar los resultados de #EleccionesAndalucía. Juanma Moreno ya anunció ayer que se presentará a la investidura: un pacto con C’s y Vox le puede llevar a San Telmo.</t>
  </si>
  <si>
    <t>https://pbs.twimg.com/media/DteXbHkWkAAJCZl.jpg</t>
  </si>
  <si>
    <t>Periodista. En @ObjetivoLaSexta. Tormenta de ideas en @newtral. Preguntar para aprender.</t>
  </si>
  <si>
    <t>ZASCA</t>
  </si>
  <si>
    <t>Pedirle coherencia a Pablo Casado es como pedirle a un bocata de panceta que no tenga grasa</t>
  </si>
  <si>
    <t>¡Bazinga!</t>
  </si>
  <si>
    <t>¿Quién vigila a los vigilantes? ¿Y a los vigilantes de los vigilantes? ¿Y a los vigilantes de los vigilantes de los vigilantes? ¿Y a los vigilantes de los vig</t>
  </si>
  <si>
    <t>https://twitter.com/pablocasado_/status/961185205104119808
https://www.20minutos.es/noticia/3254695/0/casado-pp-reforma-electoral-cataluna-ayuntamientos/?utm_source=twitter&amp;utm_medium=Social&amp;utm_campaign=Mobile-web</t>
  </si>
  <si>
    <t>CeяvantesFAQs FEM</t>
  </si>
  <si>
    <t>Ni el escoramiento ultra de Pablo Casado ha evitado la fuga masiva de votos del PP a VOX en Andalucía. El fascismo al alza y la izquierda con mucho trabajo por hacer. Y en las posiciones más centristas el desencanto y la abstención cómplices del desastre. Vaya panorama.</t>
  </si>
  <si>
    <t>¡Cervantes vive, la lucha sigue! ✊ (A veces soy CeяvantesFAQs FEM) Mis dos almas♀♂escriben en @Mentidero_ctxt de @ctxt_es @kamchatka_es @facua o @CopeliaLibros</t>
  </si>
  <si>
    <t>https://www.instagram.com/cervantesfaqs/</t>
  </si>
  <si>
    <t>Jordi Pedragosa</t>
  </si>
  <si>
    <t>Sacan un mejor resultado que no sirve para nada, como en catalunya</t>
  </si>
  <si>
    <t>https://www.lavanguardia.com/politica/20181202/453290949545/elecciones-andaluzas-pablo-casado-pedro-sanchez-elecciones.html?utm_campaign=botones_sociales_app&amp;utm_source=facebook&amp;utm_medium=social</t>
  </si>
  <si>
    <t>Vilafranca del Penedes</t>
  </si>
  <si>
    <t>Community Manager titulado de la UOC</t>
  </si>
  <si>
    <t>Johan van Veen</t>
  </si>
  <si>
    <t>#earlymusic #oudemuziek CD review: Monteverdi, Selva morale e spirituale (Balthasar Neumann Choir, Soloists &amp; Ensemble/Pablo Heras-Casado)</t>
  </si>
  <si>
    <t>http://www.musica-dei-donum.org</t>
  </si>
  <si>
    <t>https://pbs.twimg.com/media/DteLM6pXcAUrV5t.jpg</t>
  </si>
  <si>
    <t>Utrecht (Netherlands)</t>
  </si>
  <si>
    <t>Javier Fernández</t>
  </si>
  <si>
    <t>👉PABLO CASADO quiere que en los AYUNTAMIENTOS gobierne la lista más votada  vía @YouTube @pablocasado_ #EleccionesAndalucia2018 me parto 😂 !!!!!</t>
  </si>
  <si>
    <t>https://youtu.be/t3eHbLrZbhk</t>
  </si>
  <si>
    <t>Funcionario con pensamiento propio</t>
  </si>
  <si>
    <t>Pablo Casado: "Es la primera piedra para que el PP vuelva al Gobierno de España"</t>
  </si>
  <si>
    <t>http://ver.20m.es/gl9ak2</t>
  </si>
  <si>
    <t>TheCormental</t>
  </si>
  <si>
    <t>Me ha gustado un vídeo de @YouTube ( - RUEDA DE PRENSA DE PABLO CASADO TRAS EL SORPASO EN LAS ELECCIONES DE</t>
  </si>
  <si>
    <t>http://youtu.be/cMOFYQVYGDU?a</t>
  </si>
  <si>
    <t>Cada vez mas cerca de mis objetivos ! M.J. DO IT WITH L.O.V.E.</t>
  </si>
  <si>
    <t>https://www.instagram.com/crisnpatience/</t>
  </si>
  <si>
    <t>Ardid De La Razón</t>
  </si>
  <si>
    <t>Pablo Casado destaca el "resultado histórico" del PP en las elecciones andaluzas y resalta "el fracaso histórico de Pedro Sánchez porque "los andaluces le han dicho un 'no' rotundo": "Que vaya pensando en convocar elecciones"</t>
  </si>
  <si>
    <t>https://bit.ly/2FSvjLe
https://www.facebook.com/100026036767242/videos/202386580639233/</t>
  </si>
  <si>
    <t>Peru</t>
  </si>
  <si>
    <t>Política Economía Liberalismo Noticias Internacionales Noticias de Ciencia Ciencia y Tecnologías Singularidad Tecnológica Transhumanismo</t>
  </si>
  <si>
    <t>https://www.facebook.com/profile.php?id=100026036767242</t>
  </si>
  <si>
    <t>Carloyal Ⓐ</t>
  </si>
  <si>
    <t>Mientras los anarquistas recordaban hace una semana el aniversario de un "héroe del pueblo" muerto, mientras los marxistas hablaban de "posmos" y del orgullo de su ortodoxia ideológica, mientras los socialdemócratas hacían memes con Pablo Casado, los conservadores se organizaban.</t>
  </si>
  <si>
    <t>La vida es la ilusión de no creerse muerto.</t>
  </si>
  <si>
    <t>Tonino Guitian</t>
  </si>
  <si>
    <t>Creo que ha salido Pablo Casado por un agujerito diciendo que el futuro es una mierda.</t>
  </si>
  <si>
    <t>Valencia-Madrid-Barcelona</t>
  </si>
  <si>
    <t>Humor. CQC .Crónica, mundo bipolar Teatro. Sátira. Empleado del yo RadioTV Literatura. Gastronomía. Libros. Francés. Galicia. Centrocampista de la Nada</t>
  </si>
  <si>
    <t>http://www.facebook.com/ToninoGuitian</t>
  </si>
  <si>
    <t>SpazianiG</t>
  </si>
  <si>
    <t>Comercio Internacional,hablo español, italiano, poco ingles y portugués.</t>
  </si>
  <si>
    <t>EnDirecto Pablo Casado: "Que Pedro Sánchez vaya pensando en convocar elecciones".</t>
  </si>
  <si>
    <t>https://buff.ly/2RvZoBY
http://buff.ly/2Q8csk5</t>
  </si>
  <si>
    <t>https://pbs.twimg.com/media/DtdVTzlXgAE53sW.png</t>
  </si>
  <si>
    <t>Mar Doña✌🏼✊🏼</t>
  </si>
  <si>
    <t>El PP apuesta por la extrema derecha como socio para llegar al poder. Por @Guerraeterna Pablo Casado ha decidido que la ultraderecha es un socio legítimo y natural para llegar al poder, alejándose de los postulados de la derecha alemana y francesa.</t>
  </si>
  <si>
    <t>https://m.eldiario.es/_32310e9c</t>
  </si>
  <si>
    <t>“Mucha gente pequeña en lugares pequeños, haciendo cosas pequeñas pueden cambiar el mundo” ¡Claro que PODEMOS! Debate con respeto. Al primer insulto bloqueo.</t>
  </si>
  <si>
    <t>GranCanariaTV</t>
  </si>
  <si>
    <t>"Fracaso histórico de Sánchez; el PP regresa sin complejos" Pablo Casado #EleccionesAndalucia Andalucía, Pablo Iglesias, Susana, #AndaluaciaL6 Tezanos, Francisco Serrano  vía @YouTube</t>
  </si>
  <si>
    <t>http://www.GranCanariaTV.com nace con la intención de convertirse en un medio de comunicación donde todos pueden participar.</t>
  </si>
  <si>
    <t>http://www.GranCanariaTV.com</t>
  </si>
  <si>
    <t>Paucazorla</t>
  </si>
  <si>
    <t>¿Qué diría Teresa Rodríguez si Pablo Casado le llamase MAMARRACHA? RT @ikaitor: Solo Teresa Rodríguez puede llamar "mamarracho" a Pablo Casado y que quede bien</t>
  </si>
  <si>
    <t>https://twitter.com/ikaitor/status/1068985711376982017
https://twitter.com/AdelanteAND/status/1068605225370562560</t>
  </si>
  <si>
    <t>Apostador desde 2006 y Periodista al 25%. Deporte. Actualidad. Política. Humor. TV. Eurovisión y frikezas similares. En este orden. O no.</t>
  </si>
  <si>
    <t>http://canalapuesta.com/guests/tipster/254</t>
  </si>
  <si>
    <t>P B Marbe-Malaga</t>
  </si>
  <si>
    <t>Mi enhorabuena a Pablo Casado que con todo en contra y muy mal acompañado ha hecho en solitario una titánica campaña y ha aguantado muy dignamente el pabellón del PP. Aunque ahora lamentará aún más no haber sustituido al nefasto candidato sorayista por alguien presidenciable.</t>
  </si>
  <si>
    <t>Me gusta montar en bicicleta con mi gorrito. La vida es bonita si se es libre</t>
  </si>
  <si>
    <t>Vanesa</t>
  </si>
  <si>
    <t>Pablo Casado cada vez me recuerda más al Sonriente, terrible personaje de la maravilla de cómic que es Transmetropolitan. Solo hay vacío tras su mirada inerte.</t>
  </si>
  <si>
    <t>https://pbs.twimg.com/media/DtdKKoyWoAAW7Xu.jpg</t>
  </si>
  <si>
    <t>alicante</t>
  </si>
  <si>
    <t>esto y aquello, ya sabes no?</t>
  </si>
  <si>
    <t>Pikilon</t>
  </si>
  <si>
    <t>- Pablo Iglesias - Casado - Abascal - Rivera - Pedr... Ábalos Van a triunfar en las nacionales.</t>
  </si>
  <si>
    <t>Curioso, geek y bastante sabelotodo, ese soy yo.</t>
  </si>
  <si>
    <t>http://www.nomaspatanes.com</t>
  </si>
  <si>
    <t>Michele Loturco</t>
  </si>
  <si>
    <t>Pablo Casado habló siempre en contra de pactos de perdedores. Gracias a dichos pactos se alzó con la victoria en las primarias de su partido y, según parece, hará lo propio en las regionales de Andalucía para arrebatarle el poder al PSOE de Susana Díaz. Todo en menos de 6 meses.</t>
  </si>
  <si>
    <t>Roma</t>
  </si>
  <si>
    <t>Pitágora de Samos</t>
  </si>
  <si>
    <t>World</t>
  </si>
  <si>
    <t>Pitágoras de Samos fue matemático, filósofo. El teorema de Pitágoras, llamado así por Euclides, ya era conocido con mucha anterioridad a Pitágoras.</t>
  </si>
  <si>
    <t>Arquímedes de Siracusa.</t>
  </si>
  <si>
    <t>Soy físico, ingeniero, inventor, astrónomo y matemático. Se conocen pocos detalles de mi vida, pero estoy considerado uno de los científicos más importantes.</t>
  </si>
  <si>
    <t>Gonzalo Franco</t>
  </si>
  <si>
    <t>Acaban de entrar en las instituciones y ya empiezan a cargarse las libertades. La de prensa en este caso. Pero Albert Rivera y Pablo Casado rechazan llamarles extrema derecha. RT @ctxt_es: La organización de VOX NOS HA ECHADO de su cuartel general (con guardia de seguridad escoltando a @WillyVeleta y @gerardotc incluido) después de acreditarnos. ¡La fiesta de la democracia! Aquí el momento. #eleccionesandalucia</t>
  </si>
  <si>
    <t>https://twitter.com/ctxt_es/status/1069328493350199298</t>
  </si>
  <si>
    <t>pic.twitter.com/CqLTDPIa1S</t>
  </si>
  <si>
    <t xml:space="preserve">Con suerte, de viaje. </t>
  </si>
  <si>
    <t>Periodismo y Comunicación Audiovisual UC3M. Antes me dejaba ver por @SpheraSports. A veces escribo sobre cine en https://labutacadelmedio.wordpress.com</t>
  </si>
  <si>
    <t>https://www.flickr.com/photos/138956101@N06</t>
  </si>
  <si>
    <t>Sandra G. C. Cabrera</t>
  </si>
  <si>
    <t>La pesadilla de impedir el aborto a las mujeres es el mejor fotolibro del año. #NodoGénero "No merece la pena que Pablo Casado lea mi libro. Esto es para gente capaz de empatizar". La barcelonesa Laia Abril gana el prestigioso Aperture con ‘On Abortion’</t>
  </si>
  <si>
    <t>https://smoda.elpais.com/feminismo/la-pesadilla-de-impedir-el-aborto-a-las-mujeres-es-el-mejor-fotolibro-del-ano/</t>
  </si>
  <si>
    <t>San Luis - Argentina</t>
  </si>
  <si>
    <t>Puntana, feminista y ciberactivista por los derechos humanos de las mujeres, la equidad e igualdad de género.</t>
  </si>
  <si>
    <t>https://www.facebook.com/NodoGenero</t>
  </si>
  <si>
    <t>RUBEN FERNANDEZ GUER</t>
  </si>
  <si>
    <t>El último twitt, Pablo Casado presidente del PP, valora el "histórico resultado" sugiriendo que Pedro Sánchez "vaya pensando en convocar elecciones en España", estamos listos...</t>
  </si>
  <si>
    <t>Sor Francisca Dorotea</t>
  </si>
  <si>
    <t>Tengo cuarenta y tres años, he estado soltero siempre, no quiero casarme! y soy muy liberal, pero siempre estoy abierto a conocer gente nueva</t>
  </si>
  <si>
    <t>Agencia Atlas</t>
  </si>
  <si>
    <t>Pablo Casado: "El Partido Popular ha vuelto”</t>
  </si>
  <si>
    <t>http://www.atlas-news.com/agencia-internet/politica/Madrid-valoracion-Partido_Popular-Pablo_Casado-sede-Genova-resultados-elecciones-Andalucia_3_1516678321.html</t>
  </si>
  <si>
    <t>Más de 100 noticias diarias para TV e Internet. We produce and distribute over 100 daily news stories for TV and Internet. pagencia@atlas-news.com +34913966762</t>
  </si>
  <si>
    <t>http://www.atlas-news.com</t>
  </si>
  <si>
    <t>http://ver.20m.es/gl9ak1</t>
  </si>
  <si>
    <t>https://pbs.twimg.com/media/Dtc-Z9WXQAI7ZKo.jpg</t>
  </si>
  <si>
    <t>Claro que sí, guapi</t>
  </si>
  <si>
    <t>Aunque me duela decirlo: Pablo Iglesias ha dado la cara, Pablo Casado ha dado la cara, Albert Rivera ha dado la cara, Santiago Abascal ha dado la cara, y Pedro Sánchez? No está ni se le espera. Es una vergüenza hasta para sus propios votantes..</t>
  </si>
  <si>
    <t>Viendo lo visto mejor no verlo - “Yo misma” 🇪🇸</t>
  </si>
  <si>
    <t>Daniel González Rojas 🔻</t>
  </si>
  <si>
    <t>💬@ensanro: “Fascismo sin complejos es Ortega Smith diciendo en La Sexta que nos fusilaron por amor, Pablo Casado pidiendo ilegalizarnos y Rivera diciendo que en las dictaduras hay cierto orden”</t>
  </si>
  <si>
    <t>https://www.pce.es/el-pce-llama-a-la-unidad-de-las-fuerzas-democratas-y-a-la-tolerancia-0-ante-el-fascismo-sin-complejos-de-pp-cs-y-vox/</t>
  </si>
  <si>
    <t>Vivir quiere decir tomar partido. Comunista, portavoz de @iusevillaciudad en @Ayto_Sevilla y responsable de política municipal en @iunida #AlTrabajoEnBici 🚲</t>
  </si>
  <si>
    <t>https://www.rojosevillano.es</t>
  </si>
  <si>
    <t>Pablo Carballo</t>
  </si>
  <si>
    <t>En 🇩🇪 , Merkel rechazó cualquier pacto con la ultraderecha de la AFD y les hizo frente. Llegó a acuerdos con Los Verdes. En 🇫🇷 , no solo Macron, todos los partidos han sumado fuerzas frente a Le Pen. En 🇪🇸 , Casado no ha puesto ni medio pero a pactar con VOX.</t>
  </si>
  <si>
    <t>Oleiros / Vigo</t>
  </si>
  <si>
    <t>Periodista. Galego. Celtista. Tocapelotas. Padre (de Adrián y Alexandre), hijo (de Mari y Mario) y sin espíritu santo. Aquí, solo yo.</t>
  </si>
  <si>
    <t>Pedro Garcia Campoy</t>
  </si>
  <si>
    <t>Dice Pablo Iglesias que "hay que salir a la calle, para no dejar que triunfe la derecha". Y yo, le pregunto, ¿eso quiere decir que no aceptas el resultado de unas elecciones democráticas? ¿Se imaginan que el señor Casado o Abascal hubiesen hecho esas declaraciones?.</t>
  </si>
  <si>
    <t>Libre pensador</t>
  </si>
  <si>
    <t>Romina-Giotto Perón</t>
  </si>
  <si>
    <t>Javier Maroto sonriendo detrás de Pablo Casado. Creo que este chico no acaba de comprender lo que desea Vox y sus votantes a quienes comparten su orientación sexual ...</t>
  </si>
  <si>
    <t>Blocar surt de franc i és una activitat absolutament recomanable.</t>
  </si>
  <si>
    <t>Anacleto Panceto🇵🇹</t>
  </si>
  <si>
    <t>¿Cómo? ¿Pablo Casado auspiciando (qué diantres querrá decir "auspiciando") un pacto entre perdedores? Anonadado me ando. RT @PPopular: ▶ @pablocasado_: "Andalucía va a recuperar un impulso de futuro y lo va a hacer con el partido que lidera el centro derecha y la mayoría necesaria de cambio: el Partido Popular". #EleccionesAndalucía</t>
  </si>
  <si>
    <t>https://twitter.com/PPopular/status/1069362524909260800</t>
  </si>
  <si>
    <t>https://pbs.twimg.com/media/DtcjiwQUwAAH4Km.jpg</t>
  </si>
  <si>
    <t>Primero vienen las sonrisas, luego las mentiras, por último llegan las balas...co-Creador/a del PANCETISMO y Mayordomo de @mematatugata</t>
  </si>
  <si>
    <t>http://www.alcantarillasocial.com/author/xuxipc/</t>
  </si>
  <si>
    <t>RAW</t>
  </si>
  <si>
    <t>La gente sintiendo miedo por vox. Una cosa os digo, Pablo Casado me da tanto miedo como vox, y Albert Rivera no se queda muy atrás...</t>
  </si>
  <si>
    <t>instagram: _rawin</t>
  </si>
  <si>
    <t>El Nene Patriota 🇪🇸</t>
  </si>
  <si>
    <t>Pablo Casado puede estar contento. Ha aguantado demasiado bien, teniendo en cuenta el destrozo de partido que le había dejado el rajoyismo y sorayismo. Si sigue escuchando lo que quiere la gente, sólo le queda subir taponada ya la sangría. Es un tío listo, seguro que lo hace</t>
  </si>
  <si>
    <t>Entre Castilla y Aragón</t>
  </si>
  <si>
    <t>Joven Abogado. Del Real Madrid. Mis principios: Familia, Cristianismo, Patria, Tradición, Ley y Orden. Según la prograda: machirulo, islamóbofo y facha.</t>
  </si>
  <si>
    <t>Diego Rubio</t>
  </si>
  <si>
    <t>"Pablo Casado no va a pedir en esta ocasión que gobierne “la lista más votada”, ni tachará el futuro pacto de “alianza de perdedores en despachos oscuros”, ni de “gobierno frankenstein”" RT @eldiarioes: ✍ OPINIÓN | Jugar con el fuego de la extrema derecha  Por @iescolar #EleccionesAndalucía #2D</t>
  </si>
  <si>
    <t>https://twitter.com/eldiarioes/status/1069358659497590784
https://www.eldiario.es/escolar/Jugar-fuego-extrema-derecha_6_842075802.html</t>
  </si>
  <si>
    <t>https://pbs.twimg.com/media/Dtcf5wiWkAAcme5.jpg</t>
  </si>
  <si>
    <t>Estudiante en la @UMU</t>
  </si>
  <si>
    <t>Noticias 24 horas</t>
  </si>
  <si>
    <t>Feliz  vía @Noticias24horas @pablocasado_</t>
  </si>
  <si>
    <t>http://www.noticias24horas.com/pablo-casado-un-hombre-feliz/</t>
  </si>
  <si>
    <t>Oxford</t>
  </si>
  <si>
    <t>No cuentes las Noticias, haz que las Noticias cuenten. Contacto para Publicidad: PublicidadNoticias24Horas@gmail.com</t>
  </si>
  <si>
    <t>http://www.Noticias24horas.com</t>
  </si>
  <si>
    <t>Raquel Marcos</t>
  </si>
  <si>
    <t>Pablo Casado encantado con su táctica de reabsorber a Vox, al que en realidad considera una escisión del PP, no un partido de ultraderecha en el sentido en el que los europeos hablan de ultraderecha.</t>
  </si>
  <si>
    <t>Periodista. Antes, en @Hearst. Ahora, con @losdelvolcan</t>
  </si>
  <si>
    <t>Xavier Campos 🎗️</t>
  </si>
  <si>
    <t>Tranquilos co de VOX, seguro que Pablo Casado lle fai caso a Feijóo. Como era aquilo? Ah, si. "Debe gobernar la lista más votada para evitar #pactosdeperdedores" .</t>
  </si>
  <si>
    <t>https://pbs.twimg.com/media/Dtcw3dRW0AEAoNu.jpg</t>
  </si>
  <si>
    <t>Ribadeo, Galiza</t>
  </si>
  <si>
    <t>Políticas culturais na @DACCultura, ideas en @ideas_gal, comunicación no @obloque.</t>
  </si>
  <si>
    <t>https://bit.ly/2KA3WDu</t>
  </si>
  <si>
    <t>Mario Pérez</t>
  </si>
  <si>
    <t>Esperemos que el fascista Pablo Casado deje de hablar del presidente al que nadie ha votado, del gobierno de perdedores, etc etc etc</t>
  </si>
  <si>
    <t>Leche, cacao, avellanas y azúcar. Doctorado en ingeniería de telecomunicación</t>
  </si>
  <si>
    <t>Pablo Casado diciendo que son centro-derecha me ha provocado tal risa que casi me muero.</t>
  </si>
  <si>
    <t>Dragonstone</t>
  </si>
  <si>
    <t>4 8 15 16 23 42</t>
  </si>
  <si>
    <t>Jacqueline Cantos</t>
  </si>
  <si>
    <t>Pablo Casado eres lo más patético que he visto en mi vida.</t>
  </si>
  <si>
    <t>David ♥</t>
  </si>
  <si>
    <t>Conmigo quien quiera, contra mí quien pueda || DFO ♡</t>
  </si>
  <si>
    <t>Hermann Tertsch</t>
  </si>
  <si>
    <t>Periodista, ABC. Siempre razonablemente estupefacto.</t>
  </si>
  <si>
    <t>FIGHTING GOLD</t>
  </si>
  <si>
    <t>Al final Santiago Abascal va a resultar ser el Emperador y nos va a meter en una guerra intergaláctica para el resurgir de los Sith. Pablo Casado sería Darth Vader</t>
  </si>
  <si>
    <t>Lebrija, España</t>
  </si>
  <si>
    <t>21. Más que el corazón me late el escudo. Sevilla FC</t>
  </si>
  <si>
    <t>http://www.youtube.com/user/xXTigrexTiranosXx</t>
  </si>
  <si>
    <t>Jorge Zuazola</t>
  </si>
  <si>
    <t>Pablo Casado, eufórico por "liderar el cambio" tras el fin de la hegemonía del PSOE en Andalucía</t>
  </si>
  <si>
    <t>Germany</t>
  </si>
  <si>
    <t>Leadership guru. Amazon Author. https://lnkd.in/eqhQnMN Founder of Spanish Leadership, German Leadership and American Leadership RTs are not endorsements</t>
  </si>
  <si>
    <t>Mara Diaz</t>
  </si>
  <si>
    <t>Pablo Casado llamando a negociar a Rivera #EleccionesAndalucía</t>
  </si>
  <si>
    <t>pic.twitter.com/QFahXHqtT8</t>
  </si>
  <si>
    <t>Graduada Social,Profe de F.P,Marmota x vocación. No soy borde,soy simpática selectiva.🐼💙🐼 #dependientahastaelpapo #bibliapruces #bibliagobierno</t>
  </si>
  <si>
    <t>https://www.facebook.com/Me-lo-dices-o-me-lo-cuentas-Te-lo-cuento-1209658342506537/</t>
  </si>
  <si>
    <t>El Nota</t>
  </si>
  <si>
    <t>Pablo Casado quiere que su “PP renovado” gobierne en Andalucía y en España. Nos pide olvidar que Rajoy incumplió su programa y nos vendió a Pedro Sánchez. ¿Tú qué crees? #EleccionesAndalucía</t>
  </si>
  <si>
    <t>Los Angeles</t>
  </si>
  <si>
    <t>¡No soy Lebowski!. ¡Yo soy el Nota, tío!. Me gusta jugar a los bolos y poco más. Liberal. No soy un nihilista de esos. No soporto que se meen en mi alfombra.</t>
  </si>
  <si>
    <t>Isawissex</t>
  </si>
  <si>
    <t>Pablo Casado: '  vía @A3Noticias</t>
  </si>
  <si>
    <t>http://j.mp/2RzY2pS</t>
  </si>
  <si>
    <t>Venezuela- Oxford UK</t>
  </si>
  <si>
    <t>Journalist, was born in Caracas, I love chocolate, good music, hobbies, professional traveler🇬🇧❤️🇻🇪</t>
  </si>
  <si>
    <t>Olivia</t>
  </si>
  <si>
    <t>Pablo Iglesias es un líder absolutamente achicharrado. No da más de sí. Casado endurecerá el discurso. Rivera seguirá explotando el tema catalán. Pdro virará al centro.</t>
  </si>
  <si>
    <t>Abajo.</t>
  </si>
  <si>
    <t>Partido U.R.D.</t>
  </si>
  <si>
    <t>Andalucía Pablo Casado, eufórico por "liderar el cambio" tras el fin de la ... El Mundo-hace 7 minutos Andalucía marcará el futuro de Pedro Sánchez y de Pablo Casado ... «Que Sánchez vaya pensando en convocar elecciones en España», dijo, antes de ...</t>
  </si>
  <si>
    <t>Partido político venezolano con doctrina nacionalista, democrática, revolucionaria, popular; y su lema: Por pan, tierra y libertad. Fundación: 10/12/ 1945</t>
  </si>
  <si>
    <t>Señorío Mis Cojones</t>
  </si>
  <si>
    <t>Pablo llamando a una movilización, Casado diciendo que el PP ha vuelto, y Susi Pussy deja Andalucía a merced de lo desconocido. Spain is diferent.</t>
  </si>
  <si>
    <t>San Sebastián, España</t>
  </si>
  <si>
    <t>El REAL MADRID por encima de todo y todos. “Si ni siquiera Jesucristo caía bien a todo el mundo, imagínate yo”. #JMTR Colaboro en http://eldiariodemou.com</t>
  </si>
  <si>
    <t>http://eldiariodemou.com</t>
  </si>
  <si>
    <t>Supongo que ahora es cuando Pablo Casado y el PP en bloque declaran que tiene que gobernar la lista más votada. Digo yo 🤔 #EleccionesAndalucia</t>
  </si>
  <si>
    <t>Mikel el Bueno</t>
  </si>
  <si>
    <t>Aparte de a Vox hay que mirar al PP porque ahora mismo se parecen mucho. Comparado con Pablo Casado, Rajoy era Karl Marx.</t>
  </si>
  <si>
    <t>Cada vez menos bueno.</t>
  </si>
  <si>
    <t>https://stardustmiblog.blogspot.com/?m=1</t>
  </si>
  <si>
    <t>Marc Andreu</t>
  </si>
  <si>
    <t>Susana Díaz puede estar tranquila, Pablo Casado es un tipo consecuente y dejará que gobierne la lista más votada ya que todo lo contrario sería un pacto de perdedores...</t>
  </si>
  <si>
    <t>https://pbs.twimg.com/media/Dtcq5MMWkAMVTBt.jpg</t>
  </si>
  <si>
    <t>Orco</t>
  </si>
  <si>
    <t>L'intelligence est l'échelle qui mesure la sophistication de notre stupidité.</t>
  </si>
  <si>
    <t>M95 TV MARBELLA</t>
  </si>
  <si>
    <t>Mira lo que pasó en el minuto 0:11 de la transmisión de @PPopular: Rueda de prensa de Pablo Casado</t>
  </si>
  <si>
    <t>https://www.pscp.tv/w/btRf4zFQWEtkUkFKQk9xRWV8MWRqR1hPbUxXUHZLWsOy4IpWUYauMaPld7nPYDQ8uMUtD1KBujk1HFydj2HP?t=11s</t>
  </si>
  <si>
    <t>TELEVISION LOCAL DE MARBELLA PINCHA EN EL ENLACE PARA VER EL DIRECTO http://ustre.am/13onr</t>
  </si>
  <si>
    <t>http://www.m95tv.es</t>
  </si>
  <si>
    <t>https://www.20minutos.es/noticia/3507206/0/pablo-casado-primera-piedra-pp-vuelva-gobierno-espana/</t>
  </si>
  <si>
    <t>https://pbs.twimg.com/media/Dtcquh4WkAAMMPU.jpg</t>
  </si>
  <si>
    <t>#LoMásLeído | Pablo Casado prepara una limpia en el PP aprovechando las derrotas de las autonómicas</t>
  </si>
  <si>
    <t>http://somosecd.com/oo7h87</t>
  </si>
  <si>
    <t>Populares Ceuta</t>
  </si>
  <si>
    <t>🇪🇸 Pablo Casado y Juanma Moreno, la combinación perfecta para el cambio en Andalucía: "El mandato de los andaluces es claro: han pedido un cambio, encargando al 🅿️🅿️ que configure una mayoría alternativa para acabar con cuatro décadas de malas políticas". Gracias Andalucía</t>
  </si>
  <si>
    <t>https://pbs.twimg.com/media/DtcqRZhWsAEXF07.jpg</t>
  </si>
  <si>
    <t>Partido Popular de Ceuta. Twitter oficial</t>
  </si>
  <si>
    <t>http://www.ppceuta.es</t>
  </si>
  <si>
    <t>Que alguien le diga a Pablo Casado que el PP ha perdido 7 escaños y ha tenido los peores resultados de su historia en Andalucía. Que parece que no se ha coscao. #EleccionesAndalucía.</t>
  </si>
  <si>
    <t>pic.twitter.com/UMxwvUq2DQ</t>
  </si>
  <si>
    <t>Cayetano Sanchez🇪🇸</t>
  </si>
  <si>
    <t>RUEDA DE PRENSA DE PABLO CASADO TRAS EL SORPASO EN LAS ELECCIONES DE ANDALUCIA:  vía @YouTube</t>
  </si>
  <si>
    <t>Pablo Casado: "que gobierne la lista más votada ya tal" #AndaluaciaL6</t>
  </si>
  <si>
    <t>Lucio Molina</t>
  </si>
  <si>
    <t>Cada vez que Pablo Casado dice "centro", se reemplaza la "Suite nº 1 en La mayor" de Johann Sebastian Bach por "El Polvorrón" en miles de casas de melómanos de todo el mundo. #EleccionesAndalucia #EleccionesAndaluzas RT @ppmadrid: 💬 @pablocasado_: “El @PPopular ha vuelto para representar a un centro derecha sin complejos que aspira liderar con mayoría absoluta este país”.</t>
  </si>
  <si>
    <t>https://twitter.com/ppmadrid/status/1069362791998529537</t>
  </si>
  <si>
    <t>https://pbs.twimg.com/media/DtcjydNXgAEz7Nu.jpg</t>
  </si>
  <si>
    <t>En algún sitio de por aquí.</t>
  </si>
  <si>
    <t>Soy de izquierdas pero que vivan las cadenas. No compro coches con correa.</t>
  </si>
  <si>
    <t>Paula Churches</t>
  </si>
  <si>
    <t>Pablo Casado: "Ésta es la primera piedra que supone para Pedro Sánchez un fracaso histórico"</t>
  </si>
  <si>
    <t>https://ift.tt/2RuHAqP</t>
  </si>
  <si>
    <t>Coletilandia</t>
  </si>
  <si>
    <t>Presentadora agitadora de masas podemitas. Modelo, actriz, ex ojo de GH.</t>
  </si>
  <si>
    <t>Casado: "Que Sánchez vaya pensando en convocar elecciones"</t>
  </si>
  <si>
    <t>https://www.elplural.com/politica/espana/elecciones-andalucia-resultados-partido-popular-pablo-casado-pedro-sanchez_207424102</t>
  </si>
  <si>
    <t>👉 @pablocasado_: “Esta es la casa del centro-derecha y los resultados son la primera piedra del fracaso de Sánchez”.</t>
  </si>
  <si>
    <t>https://www.abc.es/espana/abci-pablo-casado-creo-despues-40-anos-hora-pp-gobernara-san-telmo-201812022338_noticia.html</t>
  </si>
  <si>
    <t>El líder del PP cree que hay un “mandato inequívoco” y empieza ahora “esa recuperación del espacio liderando el centro derecha”</t>
  </si>
  <si>
    <t>https://www.lavanguardia.com/politica/20181202/453290949545/elecciones-andaluzas-pablo-casado-pedro-sanchez-elecciones.html?utm_source=twitter_lv&amp;utm_medium=social</t>
  </si>
  <si>
    <t>Night´s Late Show</t>
  </si>
  <si>
    <t>A la gente le molesta lo que ha dicho Pablo Iglesias sobre los fachas, pero Pablo Casado puede llamar batasunos comunistas a quien quiera, y el simio amaestrado de VOX insultar igualmente.</t>
  </si>
  <si>
    <t>:D</t>
  </si>
  <si>
    <t>Andaluz, egocéntrico, cansino, charlatán, constructor de castillos en el aire, amante del Anime, de la música, follo mentes y ...sincero. http://bit.ly/H04Qc</t>
  </si>
  <si>
    <t>Aerolito</t>
  </si>
  <si>
    <t>#ElCascabel2D cuantas facturas y mierda aparecera cuando salga la Pesoe de la Junta...asi eata Avalalos y Susanita ....asustaos....y Pedro ....se las ve negras, Pablo Casado al loro que se la juega</t>
  </si>
  <si>
    <t>Piensa McFly ...piensa</t>
  </si>
  <si>
    <t>Carmen del Río Ruiz</t>
  </si>
  <si>
    <t>Casado: &lt;&amp;lt;Esta es la casa del centro-derecha y los resultados son la primera piedra del fracaso de Sánchez&gt;&amp;gt;</t>
  </si>
  <si>
    <t>http://dld.bz/hgHRm</t>
  </si>
  <si>
    <t>Estudiante de Grado en Moda y Diseño. Eco-Fashion Lifestyle 👄</t>
  </si>
  <si>
    <t>Prado Zúñiga</t>
  </si>
  <si>
    <t>Que Pablo Casado explique esto a sus votantes del resto de España: Elecciones Andalucía 2018: El PP se declara eufórico y dispuesto a pactar con Vox | España | EL PAÍS</t>
  </si>
  <si>
    <t>https://elpais.com/politica/2018/12/02/actualidad/1543762177_290615.html</t>
  </si>
  <si>
    <t>Manzanares, España</t>
  </si>
  <si>
    <t>Trabajadora social. Directora Provincial de Bienestar Social de Ciudad Real.</t>
  </si>
  <si>
    <t>Javier Manzano</t>
  </si>
  <si>
    <t>Y pablo casado donde estaba? currando....perdon....viviendo a la sopa boba RT @Viirita82: Santiago Abascal hace 3 años en Sevilla. Hoy, con 12 escaños. Qué mérito tienes, @Santi_ABASCAL !!! Gracias, GRACIAS!!! Comienza la #reconquista !!!! @vox_es !!! #españaviva #EleccionesAndaluciaA3N #AndaluaciaL6</t>
  </si>
  <si>
    <t>https://twitter.com/Viirita82/status/1069365787994058753</t>
  </si>
  <si>
    <t>https://pbs.twimg.com/media/DtcmgvkXgAAttuh.jpg</t>
  </si>
  <si>
    <t>Demetrius</t>
  </si>
  <si>
    <t>Pero yo pensaba que para Pablo Iglesias casado y Rivera eran fascistas. O sea todo es fascismo o que?</t>
  </si>
  <si>
    <t>Marta González Novo</t>
  </si>
  <si>
    <t>Escuchar a Pablo Casado hablar de los comunistas andaluces cuando llega al gobierno de la mano de Vox... Me voy a dornir perpleja y triste. #EleccionesAndalucía</t>
  </si>
  <si>
    <t>Periodista. Dirijo @hoyxhoymadrid en @La_SER En @PodiumPodcast soy 'El Hada Martina', ficción sonora para niñ@s, y doy voz literaria a @BufaloNocturno Un lío.</t>
  </si>
  <si>
    <t>German Tejada</t>
  </si>
  <si>
    <t>Pablo Casado: "Somos el partido que representa el centro derecha MODERADO liberal". Also Pablo Casado: "Hemos derrotado a los comunistas, batasunos y podemitas de la dictadura Chavista". JAJAJAJAJAJA</t>
  </si>
  <si>
    <t>InfoHeaders_Test</t>
  </si>
  <si>
    <t>INFH NDPNTSM 031218000025 Casado: Esta es la casa del centro-derecha y los resultados son la primera piedra del fracaso de Sánchez</t>
  </si>
  <si>
    <t>Cuenta experimental para la creación de diarios privados para 'The InfoHeaders Journal'.</t>
  </si>
  <si>
    <t>http://www.infoheaders.com</t>
  </si>
  <si>
    <t>#Política: Casado ha justificado su estrategia de no criticar a Vox. ¿Qué dijo?  vía @mundiario</t>
  </si>
  <si>
    <t>https://www.mundiario.com/articulo/politica/pablo-casado-casado-critica-vox/20181129212656139246.html</t>
  </si>
  <si>
    <t>Enrique de Diego</t>
  </si>
  <si>
    <t>Pablo Casado salva bastante más que los muebles - Rambla Libre</t>
  </si>
  <si>
    <t>http://ramblalibre.com/2018/12/02/pablo-casado-salva-bastante-mas-que-los-muebles/#.XARjqQXnPyI.twitter</t>
  </si>
  <si>
    <t>Periodista y escritor. Presidente de Plataforma de las Clases Medias. Autor de Casta parasitaria, El manifiesto de las clases medias y La monarquía inútil</t>
  </si>
  <si>
    <t>http://www.ramblalibre.com</t>
  </si>
  <si>
    <t>⛔Barreiros⛔</t>
  </si>
  <si>
    <t>Casado: «Esta es la casa del centro-derecha y los resultados son la primera piedra del fracaso de Sánchez»  vía @ABCespana</t>
  </si>
  <si>
    <t>https://www.abc.es/espana/abci-pablo-casado-creo-despues-40-anos-hora-pp-gobernara-san-telmo-201812022338_noticia.html#ns_campaign=rrss-inducido&amp;ns_mchannel=abc-es&amp;ns_source=tw&amp;ns_linkname=noticia-foto&amp;ns_fee=0</t>
  </si>
  <si>
    <t>⛔Soy el antisistema de los antisistema⛔</t>
  </si>
  <si>
    <t>Que hostia tiene la prepotencia de Pablo Casado #EleccionesAndalucía</t>
  </si>
  <si>
    <t>http://dlvr.it/Qsg1vB</t>
  </si>
  <si>
    <t>https://pbs.twimg.com/media/Dtcl5z3VYAANS74.jpg</t>
  </si>
  <si>
    <t>Andoni León Sáenz</t>
  </si>
  <si>
    <t>Pablo Casado ganó con el voto directo de la militancia del PP? 😵 MEN-TI-RA Le hicieron ganador los compromisarios. En contra de lo que dijo la mayoría de los militantes del PP... #EleccionesAndalucia</t>
  </si>
  <si>
    <t>Pedralba, España</t>
  </si>
  <si>
    <t>Graduado en Información y Documentación.</t>
  </si>
  <si>
    <t>Teresa León 🦁</t>
  </si>
  <si>
    <t>Creo que el análisis de Casado y su equipo, vuelve a estar equivocado. Moreno no va a gobernar gracias a la omnipresencia de Pablo en su campaña. De hecho, no han sido capaces de retener el voto más moderado, que se les ha ido a Ciudadanos y el más extremo, que se ha ido a Vox</t>
  </si>
  <si>
    <t>México</t>
  </si>
  <si>
    <t>Politóloga, melómana y merengue. Haciendo #Compol en algún lugar del mundo. Extremadura, mi tierra. Madrid, mi ciudad. México, mi destino.</t>
  </si>
  <si>
    <t>http://souto.com</t>
  </si>
  <si>
    <t>Flor María Fernández</t>
  </si>
  <si>
    <t>https://www.abc.es/espana/abci-pablo-casado-creo-despues-40-anos-hora-pp-gobernara-san-telmo-201812022338_noticia.html#ns_campaign=amp-rrss-inducido&amp;ns_mchannel=abc-es&amp;ns_source=tw&amp;ns_linkname=noticia.foto&amp;ns_fee=0</t>
  </si>
  <si>
    <t>Asturias ,Aviles.</t>
  </si>
  <si>
    <t>ESPAÑOLA. ASTURIANA DE AVILÉS.CATOLICA. ORGULLOSA DE SER ESPAÑOLA.</t>
  </si>
  <si>
    <t>Casado y Rivera achacan a Sánchez el mal resultado del PSOE andaluz. Resulta que Susana Díaz ha gobernado estos últimos años con el apoyo de Ciudadanos. Resulta que Díaz ha sido la gran opositora a Sánchez. Resulta que el PP pierde 7 diputados y 300.000 votos 👉🏻</t>
  </si>
  <si>
    <t>Ale</t>
  </si>
  <si>
    <t>Casado: «Esta es la casa del centro-derecha y los resultados son la primera piedra del fracaso de Sánchez»</t>
  </si>
  <si>
    <t>Ingeniero Civil. Amante de los gatos. En contra del maltrato animal. Madridista. “Los molinos de los Dioses muelen lento pero muelen".</t>
  </si>
  <si>
    <t>Gemma Martínez</t>
  </si>
  <si>
    <t>No sé qué es más preocupante... Las declaraciones del representante de Vox o las de Pablo Casado.</t>
  </si>
  <si>
    <t>Sanxenxo</t>
  </si>
  <si>
    <t>Graduada en Publicidad y RRPP. Escribir, escribir y escribir. Diario de Pontevedra. Deportes. (ig: @geeemartinezzz)</t>
  </si>
  <si>
    <t>A mi me parece evidente que el cambio no se le pide al PP sino a Cs que sube, y Vox que irrumpe. No olvidemos que el PP ha perdido 7 escaños. Si fuera un partido de Estado tendría un perfil más bajo, pero sale Pablo "no he currado en mi vida" Casado a pedir el mando #AndaluciaL6</t>
  </si>
  <si>
    <t>Inés</t>
  </si>
  <si>
    <t>Una cosa: si el PP y Ciudadanos pactan con Vox (que lo harán), se convertirán en cómplices y colegas del fascismo. No os quejéis de Vox si luego vais a votar a Pablo Casado o a Albert Rivera.</t>
  </si>
  <si>
    <t>Entre Zaragoza y Gandía</t>
  </si>
  <si>
    <t>Estudio Periodismo. Nieta de María José. Feminista por obligación social, de izquierdas por convicción. De Sabina. Y maña, mucho. Todo.</t>
  </si>
  <si>
    <t>Damelys Mey Zambrano</t>
  </si>
  <si>
    <t>Cuando leo el contenido programático de VOX siento que me cae bien Pablo Casado</t>
  </si>
  <si>
    <t>Bogotá, D.C., Colombia</t>
  </si>
  <si>
    <t>Venezolana en Colombia Activista de Voluntad Popular Paraguanera, Ingeniero, Futbolera y, Tigrera</t>
  </si>
  <si>
    <t>Pablo Casado dice estar ilusioando y contento porque Moreno Bonilla va a presentarse a la investidura , así sin sonrojarse ni nada después de perder 300.000 votos</t>
  </si>
  <si>
    <t>Castellón de la Plana, España</t>
  </si>
  <si>
    <t>Socialista , padre, #retail , Socio del @cd_castellón #PPO</t>
  </si>
  <si>
    <t>Abelardo Vázquez Pita</t>
  </si>
  <si>
    <t>Hace unos días decía Pablo Casado sobre Pedro Sánchez: "Dependen de los votos vergonzantes de la moción de censura para seguir en el poder y eso es ser un presidente ilegítimo". ¿Creerá que son vergonzantes los votos de Vox para que el PP gobierne en Andalucía?</t>
  </si>
  <si>
    <t>#Periodista en RTVE / Compositor</t>
  </si>
  <si>
    <t>https://soundcloud.com/abelardovazquez</t>
  </si>
  <si>
    <t>JULIAN RUIZ</t>
  </si>
  <si>
    <t>#AndalucíaL6 no he escuchado a Albert Rivera y Pablo Casado alertando de la subida de los extremistas.</t>
  </si>
  <si>
    <t>Es más libre el que está entre rejas por expresar su opinión, que el que está fuera por no tener el coraje de gritarla.(HORACIO GUARANY)</t>
  </si>
  <si>
    <t>Conchi</t>
  </si>
  <si>
    <t>Pablo Casado: "Es la primera piedra para que el PP vuelva al Gobierno de España"Estáis demostrando que estáis a favor de un partido de ultraderecha,que asco dais y que os sentáis ganadores y os tenéis que juntar con dos a ver cuál os gusta más 👎😡👎</t>
  </si>
  <si>
    <t>https://www.20minutos.es/noticia/3507206/0/pablo-casado-primera-piedra-pp-vuelva-gobierno-espana?utm_source=twitter.com&amp;utm_medium=socialshare&amp;utm_campaign=mobile_app</t>
  </si>
  <si>
    <t>Luchemos por un Mundo Libre de Opresion.y que haya Igualdad.Libertad y Fraternidad</t>
  </si>
  <si>
    <t>V𝙸𝙺𝚃𝙾𝚁M𝙴𝙳𝙸𝙽𝙰</t>
  </si>
  <si>
    <t>Desciende ⠀ ⠀ ⠀ ⠀ ⠀ ⠀ ⠀ ⠀ ⠀ ⠀ ⠀ ⠀ ⠀ ⠀ ⠀ ⠀ ⠀ ⠀ ⠀ ⠀ ⠀ ⠀ ⠀ ⠀ ⠀ ⠀ ⠀ ⠀ ⠀ ⠀ Sigue descendiendo ⠀ ⠀ ⠀ ⠀ ⠀ ⠀ ⠀ ⠀ ⠀ ⠀ ⠀ ⠀ ⠀ ⠀ ⠀ ⠀ ⠀ ⠀ ⠀ ⠀ ⠀ ⠀ ⠀ ⠀ más ⠀ ⠀ ⠀ ⠀ ⠀ ⠀ ⠀ ⠀ ⠀ ⠀ ⠀ ⠀ Vale, aquí está la coherencia de Pablo Casado.</t>
  </si>
  <si>
    <t>Torrent, País Valencià</t>
  </si>
  <si>
    <t>27. 🏳️‍🌈♻️✊🏻Compromés amb la terra, l’aigua pública i la diversitat. Regidor de Compromís per Torrent #ambValentia</t>
  </si>
  <si>
    <t>http://viktormedina.eu/</t>
  </si>
  <si>
    <t>Ivonne 🇪🇸🇨🇺</t>
  </si>
  <si>
    <t>http://ver.abc.es/00oqb1</t>
  </si>
  <si>
    <t>Las Palmas de GC, España</t>
  </si>
  <si>
    <t>Soy parte de un legado que es la vida y como tal la venero y respeto. Nací cubana🇨🇺, me fui al exilio a la tierra de mis bisabuelos que ahora es mi tierra🇪🇸</t>
  </si>
  <si>
    <t>Airenosio ⊕</t>
  </si>
  <si>
    <t>El PP desideologizado de Pablo Casado se arruina y los que canalizan el voto ahora son: - Rivera, que viene del PP, por el centro. - Abascal, que viene del PP, por la derecha. La tragedia es que muchos españoles confían en que estos últimos son la solución. Y España agoniza.</t>
  </si>
  <si>
    <t>Zaragoza-Barcelona, España</t>
  </si>
  <si>
    <t>"Un pueblo no puede triunfar por el 'oscurecimiento del mundo' y la decadencia, sino por medio de la condición de querer permanentemente un destino".</t>
  </si>
  <si>
    <t>Pablo Casado y su euforia desmedida. Que alguien le diga que la política da muchas vueltas. La de risas que nos volveríamos a echar. #eleccionesAndalucía #AndaluciaL6</t>
  </si>
  <si>
    <t>https://pbs.twimg.com/media/DtckJjKXoAA9Db7.jpg</t>
  </si>
  <si>
    <t>José Martínez Rubio</t>
  </si>
  <si>
    <t>❗️Defenderá @isabelbonig que la Generalitat Valenciana entregue las competencias en Sanidad, Educación y los Servicios Sociales al Estado, como ha defendido Pablo Casado esta noche? RT @J_MartinezRubio: Casado reclama (de nuevo) que el Estado recupere las competencias en sanidad y educación. La derecha avanza en el debate territorial asumiendo los peores postulados.</t>
  </si>
  <si>
    <t>https://twitter.com/j_martinezrubio/status/1069359526766366722?s=21</t>
  </si>
  <si>
    <t>Bologna / València</t>
  </si>
  <si>
    <t>Professor Aj.Dr. Literatura | Educació a la UJI. Vaig aprendre a ensenyar a la Universitat de València i a la Università di Bologna. Ara a @GVAsanitat</t>
  </si>
  <si>
    <t>https://uji.academia.edu/Jos%C3%A9Mart%C3%ADnezRubio</t>
  </si>
  <si>
    <t>Victoriano Marín</t>
  </si>
  <si>
    <t>Sigamos hablando de Vox y de Pablo Casado a diario en todas partes, a ver qué pasa.</t>
  </si>
  <si>
    <t>Murcia-Madrid ≈ Madrid-Murcia.</t>
  </si>
  <si>
    <t>No-guionista, no-escritor y no-poeta.</t>
  </si>
  <si>
    <t>Antoni Piqueras</t>
  </si>
  <si>
    <t>Viendo el discurso de Pablo Casado, y su"centro-derecha", pienso, ¿el hipócrita nace o se hace?. Andalucía ha sufrido hoy 12 picaduras de un parásito que se extiende por Europa.</t>
  </si>
  <si>
    <t>Moixent - Rodalies - Castelló</t>
  </si>
  <si>
    <t>Estudiant de tecnologies industrials a l'UJI i atleta del Club Atletisme Xàtiva</t>
  </si>
  <si>
    <t>Álex A.K.A Ápplejack</t>
  </si>
  <si>
    <t>Ha salido Pablo Casado a hacer suyo el resultado de VOX, y a la vez decir que son el centro derecha moderado y reformista. Me deja tan estupefacto que no sé ni qué decir a eso.</t>
  </si>
  <si>
    <t>València, País Valencià</t>
  </si>
  <si>
    <t>Born too late to explore the world, too soon to explore space, but just in time to post dank memes. And loving it.</t>
  </si>
  <si>
    <t>http://Instagram.com/daimonion_28</t>
  </si>
  <si>
    <t>Cristina Garcia Cs</t>
  </si>
  <si>
    <t>La capacidad de autocrítica en la política deja mucho que desear. Ábalos atribuyendo los problemas de los últimos 40 años de Andalucía a la derecha, Pablo Casado eufórico después de perder 7 escaños respecto 2015. Humildad y reflexión brillan por su ausencia.</t>
  </si>
  <si>
    <t>Zaragoza - Barcelona</t>
  </si>
  <si>
    <t>Concejal del GM de @CsZaragoza_ en el Ayuntamiento de Zaragoza. Ex-jugadora de baloncesto. 🏀🏀 como filosofía de vida.</t>
  </si>
  <si>
    <t>http://aragon.ciudadanos-cs.org</t>
  </si>
  <si>
    <t>María Xosé López</t>
  </si>
  <si>
    <t>Pablo Casado no deja de repetir que el PP acabó con el Plan Ibarretxe... Y a fuerza de hacerlo terminará pareciendo verdad. #Datos #VamosARepetirLaHistoria</t>
  </si>
  <si>
    <t>Soy redactora de la sección de Economía de Noticias Cuatro desde que se inauguró el canal. Viguesa militante y devota de J.S. Bach</t>
  </si>
  <si>
    <t>manulicu</t>
  </si>
  <si>
    <t>¿Por qué Casado está tan feliz? El PP ha perdido 320.000 votos y 7 escaños. Pablo: disimula tu odio.Ha ganado Vox y Cs, no tú. #EleccionesAndalucia2018</t>
  </si>
  <si>
    <t>Estudiante de Derecho por la UMU. El juego sin reglas es mas divertido.</t>
  </si>
  <si>
    <t>paula 🐀🎄</t>
  </si>
  <si>
    <t>en instagram una pava de mi instituto sigue al vox pp alvaro ojeda pablo casado etc prefiero reírme a pegarle un puñetazo xd</t>
  </si>
  <si>
    <t xml:space="preserve">enchufe </t>
  </si>
  <si>
    <t>el salmonete liberó al mono</t>
  </si>
  <si>
    <t>El Tonto'l Poble 🎗️</t>
  </si>
  <si>
    <t>Pablo Casado y Albert Rivera ven como gran peligro al independentismo catalán, pero celebran con ganas y entusiasmo el acceso de la extrema derecha en el parlamento andaluz.</t>
  </si>
  <si>
    <t>Quan veig qui són els que tant reclamen una Catalunya de gent "normal", m'adono que això de ser "normal" no pot ser pas bo. Per això prefereixo ser tonto.</t>
  </si>
  <si>
    <t>Según dijo Pablo Casado y lo repitió muchas veces que gobierne la lista mas votada,hoy se le a olvidado,y ya moviliza y pone en guardia a todos los andaluces,ya tenéis trabajos precarios,salarios basura,y al final todo sera un caos muchos presidentes,y mas a cobrar #AndaluciaL6</t>
  </si>
  <si>
    <t>Candela✨</t>
  </si>
  <si>
    <t>Pablo Casado puede dejar de decir que son de centro derechas</t>
  </si>
  <si>
    <t xml:space="preserve"> Málaga </t>
  </si>
  <si>
    <t>https://www.instagram.com/candelarueda_/</t>
  </si>
  <si>
    <t>Brona_K</t>
  </si>
  <si>
    <t>Pablo Casado ahora mismo #AndaluciaL6</t>
  </si>
  <si>
    <t>pic.twitter.com/6SIzZg7GG7</t>
  </si>
  <si>
    <t>Si me aplican ley mordaza me pongo muy lokha</t>
  </si>
  <si>
    <t>Centro Derecha moderado y liberal!! Eso dice Pablo Casado del Partido Popular. 📌De Podemos: Batasunos y podemitas. Aznar ya los tenemos a todos juntos!!: Viva El Rey!!👎</t>
  </si>
  <si>
    <t>https://pbs.twimg.com/media/DtciCXiXoAMwvoK.jpg</t>
  </si>
  <si>
    <t>Nekane 🕊</t>
  </si>
  <si>
    <t>Pues no está elevado Pablo Casado😱 Cualquiera los aguanta ahora 🤦‍♀️ ❗️Asco, mucho asco producen❗️ ❕Animo Andalucia❕🙋‍♀️ 👉 Boicot a VOX 🆘 #EleccionesAndalucia2018</t>
  </si>
  <si>
    <t>Para dormirme cuento mis defectos *O Wilde*</t>
  </si>
  <si>
    <t>manuel cajal gracia</t>
  </si>
  <si>
    <t>Pablo Casado pidiendo que gobierne la lista más votada...en uno, dos y tres.</t>
  </si>
  <si>
    <t>Sabiñánigo (Huesca)</t>
  </si>
  <si>
    <t>Jubilado, de júbilo.</t>
  </si>
  <si>
    <t>🌴🌴FranSS⬜️💚⬜️🌴🌴</t>
  </si>
  <si>
    <t>Pablo Casado diciendo que han tenido un buen resultado.....si han perdido 7 escaños😱😱!! #Vivaelvino!🍷</t>
  </si>
  <si>
    <t>Elche, España</t>
  </si>
  <si>
    <t>Diplomado en turismo, ilicitano de pro, i Baiero de tota la vida. Digo lo que pienso, y pienso lo que digo. ¡Nunca callado! #iaixòésaixina</t>
  </si>
  <si>
    <t>Tamara Vilchez</t>
  </si>
  <si>
    <t>¿Pablo Casado sabe contar?</t>
  </si>
  <si>
    <t>Malagueña y malaguista, con eso sobra todo lo demás.</t>
  </si>
  <si>
    <t>Ana Madrazo Diaz</t>
  </si>
  <si>
    <t>Cambio histórico en #Andalucía de la mano del @PPopular con @JuanMa_Moreno y @Pablo casado_ Enhorabuena a todos los Andaluces . Va por ESPAÑA 🇪🇸</t>
  </si>
  <si>
    <t>https://pbs.twimg.com/media/DtchzcEXgAYrp7H.jpg</t>
  </si>
  <si>
    <t>Diputada Nacional del PP y actual portavoz de Hacienda del Congreso de los Diputados.</t>
  </si>
  <si>
    <t>Diego Abubu</t>
  </si>
  <si>
    <t>Lo primero que veo de las elecciones es a pablo casado celebrando sus increibles resultados. Han votado poco más de la mitad de andaluces y ellos han perdido 7 escaños 🙄</t>
  </si>
  <si>
    <t>Exiliado, sportinguista</t>
  </si>
  <si>
    <t>Antonio Mayorgas</t>
  </si>
  <si>
    <t>Las castaña de Susana es sideral pero tampoco entiendo la alegría de Pablo Casado que se ha llevado también un buen revolcón.</t>
  </si>
  <si>
    <t>Cáceres</t>
  </si>
  <si>
    <t>Director Comercial el Periódico Extremadura. A una isla desierta me llevaría a alguien para echarle la culpa. También en @SoloRuta66</t>
  </si>
  <si>
    <t>http://66ruta.wordpress.com</t>
  </si>
  <si>
    <t>Nicolás Rivera</t>
  </si>
  <si>
    <t>Madre del amor hermoso Pablo Casado. "Una jornada muy alegre para nosotros", dice. Discurso de vencedor absoluto. Ignora por completo la pérdida de siete escaños y el gran crecimiento de las otras fuerzas de derecha. Aprovecha para pedir elecciones a Pedro Sánchez 🤦🏼‍♂️</t>
  </si>
  <si>
    <t>Redactor de tecnología en @hipertextual.</t>
  </si>
  <si>
    <t>http://www.nicolasrivera.be</t>
  </si>
  <si>
    <t>Nano Ameneiro</t>
  </si>
  <si>
    <t>El discurso de Pablo Casado. Centralismo. Grandeza de España. Revisionismo. Van a pactar con los fascistas. Tengo absoluto miedo de lo que se está convirtiendo el Estado Español. Pavor.</t>
  </si>
  <si>
    <t>entre Navia y Balaídos</t>
  </si>
  <si>
    <t>En esta orilla no hago pie. #BailaconEM Escribo cosicas en @celtabaloncesto Del @rccelta desde 1990</t>
  </si>
  <si>
    <t>http://www.celtabaloncesto.com</t>
  </si>
  <si>
    <t>Seaina🆓➡🎗💜</t>
  </si>
  <si>
    <t>Los palmeros de atrás Casado aguantando el tipo, mientras escuchan el discurso de "nosotros también hemos ganado" (después de perder 7 escaños). Ni uno se cree lo que Pablo cuenta. #lenguajecorporal #ElCascabel2D</t>
  </si>
  <si>
    <t>A veiam, el nord...?</t>
  </si>
  <si>
    <t>Wabi sabi soul. Republicana. Las hormigas organizadas se comen al elefante (com a solució a moltes coses) Canvi de lloc instantani com a superpoder novamás.</t>
  </si>
  <si>
    <t>fredi2794</t>
  </si>
  <si>
    <t>Que asco mas grande me da Pablo Casado.</t>
  </si>
  <si>
    <t>fernando sancho</t>
  </si>
  <si>
    <t>Pero, ¿la extrema derecha no era Pablo Casado? Porque se hincharon de etiquetarlo así cuando ganó a Soraya. Claro que también Rivera, Rosa Díez, etc... RT @JosPastr: Susana Díaz ha dicho "extrema derecha" 80.000 veces durante la campaña y 85.000 veces ahora en cinco minutos. Debe de pensar que le ha funcionado la estrategia.</t>
  </si>
  <si>
    <t>zaragoza</t>
  </si>
  <si>
    <t>director de La8Zaragoza TV</t>
  </si>
  <si>
    <t>Nacho González</t>
  </si>
  <si>
    <t>Pablo Casado defendió a Viktor Orban en el PPE. Seguro que son capaces de renunciar a la Junta de Andalucía para hacerle un cordón sanitario a Vox. La derecha liberal española.</t>
  </si>
  <si>
    <t>Periodista. Barcelona. Former: Sarajevo</t>
  </si>
  <si>
    <t>Clau</t>
  </si>
  <si>
    <t>pablo casado definiendo al pp como un partido de centro derecha moderado reformista y liberal jaj</t>
  </si>
  <si>
    <t>Cádiz//Sevilla Psicología, US 💚♀ Instagram ➡ cloddmc_</t>
  </si>
  <si>
    <t>Jon S. Forrest🔻</t>
  </si>
  <si>
    <t>Pablo Casado habla en su discurso de una supuesta necesidad de cerrar fronteras. La extrema derecha ya les ha marcado la agenda. #EleccionesAndalucía</t>
  </si>
  <si>
    <t>Bruselas - Madrid</t>
  </si>
  <si>
    <t>Activista de izquierdas y LGTBi. Ripense en el Parlamento Europeo, luchando en el equipo de @IUEuropa - ثورة حتى النصر</t>
  </si>
  <si>
    <t>Estoy in love con esta casa</t>
  </si>
  <si>
    <t>Pablo Casado, Albert Rivera y Santiago Abascal han dicho alto y claro en sus mítines post elecciones que gran parte de su victoria se debe a su postura sobre Cataluña. Negarse a admitirlo no hará que deje de ser verdad.</t>
  </si>
  <si>
    <t>Valladolor</t>
  </si>
  <si>
    <t>Aventuras y desventuras de un catalán radicado en Castilla.</t>
  </si>
  <si>
    <t>https://medium.com/@ibnussabel</t>
  </si>
  <si>
    <t>Ciudadanos presidirá Andalucía. Error de Pablo Casado. Después de perder 7 escaños y no dirigir Andalucía se ha quedado en un discurso ridículo. Emeroteca. #EleccionesAndalucia2018</t>
  </si>
  <si>
    <t>Perendinador</t>
  </si>
  <si>
    <t>Veo a Pablo Casado demasiado eufórico sobre el proyecto del PP. Como si esto fuera un aval a su gestión a nivel nacional. Que alguien le recuerde que, aunque la aritmética ponga a su candidato al frente de la Junta, han perdido 7 escaños. 7!! #AndaluciaL6 #EleccionesAndalucia2018</t>
  </si>
  <si>
    <t>No dejes para hoy lo que puedas dejar para pasado mañana</t>
  </si>
  <si>
    <t>Juan Cuenca Herrero</t>
  </si>
  <si>
    <t>Han hablado todos los primeros espadas, Pablo Casado, Alberto Casado, el otro Pablo!!! Y Pedro.... ¿Donde está ?</t>
  </si>
  <si>
    <t>Ángel Calleja</t>
  </si>
  <si>
    <t>Pablo Casado se felicita y se siente ratificado en su proyecto tras los resultados de las andaluzas. El PP ha perdido 7 diputados. Cs ha crecido 12 (21) y Vox entra con 12.</t>
  </si>
  <si>
    <t>Madrid / Spain</t>
  </si>
  <si>
    <t>Comunicación, Política, Periodismo, Madrid, Relaciones Internacionales, Derechos Humanos.</t>
  </si>
  <si>
    <t>Natalia</t>
  </si>
  <si>
    <t>Pablo Casado frotándose ya las manos</t>
  </si>
  <si>
    <t>pic.twitter.com/BCID8ek2l5</t>
  </si>
  <si>
    <t>Rivendell</t>
  </si>
  <si>
    <t>Podría tener una biografía bonita y profunda, pero no, tengo esta cutrez que pega más conmigo. Amante de las chinchillas. No he visto Lalaland</t>
  </si>
  <si>
    <t>Rocco</t>
  </si>
  <si>
    <t>Estoy viendo en la TV a Pablo Casado con un discurso victorioso por sus resultados en las andaluzas . Con 26 escaños en estas últimas elecciones que son 7 menos que en 2015, no entiendo su excesivo entusiasmo.Un poco de autocrítica es lo que hace falta en el PP,esto no para aquí.</t>
  </si>
  <si>
    <t>Óscar Rincón Alonso</t>
  </si>
  <si>
    <t>Hasta cuatro veces ha dicho Pablo Casado en su discurso que su partido representa el centro derecha. Está clara la estrategia.</t>
  </si>
  <si>
    <t>Periodista. Deportes en @sextaNoticias 20h. Contaré historias en @MVTARDE. Me gusta la palabra artesano. Sin música y sin amor esto sería insoportable.</t>
  </si>
  <si>
    <t>H e l l</t>
  </si>
  <si>
    <t>Sigo pensando que Pablo Casado es un vampiro</t>
  </si>
  <si>
    <t>Vlc</t>
  </si>
  <si>
    <t>Soy lo peor que te ha pasao' en la vida Ingeniería Mecánica - UPV https://t.co/drOTc8M</t>
  </si>
  <si>
    <t>https://t.co/tX0hZXAnRs</t>
  </si>
  <si>
    <t>Nacho Martin</t>
  </si>
  <si>
    <t>Pablo Casado abandona el discurso de que gobierne la lista más votada, ahora es más del #PactoDePerdedores casualmente sucede solamente cuando él es el beneficiado #DondeDijeDigo #DigoDiego #AndaluciaL6 #EleccionesAndalucía #EleccionesAndaluciaA3N #EleccionesAndalucia</t>
  </si>
  <si>
    <t>Alcala de Henares</t>
  </si>
  <si>
    <t>Responsable de Comunicación de @IzAb_alcala peñista de la @pbalcala , carnavalero por devoción</t>
  </si>
  <si>
    <t>http://unculeencomplutum.blogspot.com</t>
  </si>
  <si>
    <t>Manuel Fernandez Gal</t>
  </si>
  <si>
    <t>Casado no ha podido terminar su discurso sin añdir que son un partido moderado. Eso Pablo, no vaya a ser que te llamen fascista! Cobarde.</t>
  </si>
  <si>
    <t>MiguelÁngel del Arco</t>
  </si>
  <si>
    <t>Exultante Pablo Casado: "mi proyecto se ha consolidado". Alucinante, después de perder mas de 300.000 votos y siete diputados.</t>
  </si>
  <si>
    <t>Periodista y profesor de la Universidad Carlos III</t>
  </si>
  <si>
    <t>http://dlvr.it/QsfzcC</t>
  </si>
  <si>
    <t>https://pbs.twimg.com/media/DtchTjHUUAAAyyN.jpg</t>
  </si>
  <si>
    <t>J. Casal</t>
  </si>
  <si>
    <t>Muy bien también Pablo Casado poco menos que yéndose a Cibeles tras haber perdido 7 escaños. Un poco más y me convence de que han obtenido una victoria histórica.</t>
  </si>
  <si>
    <t>Sanxenxo y Pontevedra</t>
  </si>
  <si>
    <t>Redactor y Coordinador de Comarcas en Diario de Pontevedra. Fanático del baloncesto y fan irrecuperable del humor absurdo. Por eso amo Twitter.</t>
  </si>
  <si>
    <t>http://javiercasalc.blogspot.com.es</t>
  </si>
  <si>
    <t>Cristina Campos</t>
  </si>
  <si>
    <t>Pablo Casado o cómo la autocritica brilla por su ausencia. Aires triunfantes para una opción entre cinco que ha perdido siete escaños. Encantados de conocerse. #AndaluciaL6</t>
  </si>
  <si>
    <t>Pedro Lázaro Gómara</t>
  </si>
  <si>
    <t>Pablo Casado #PP confirma que tras hablar con Moreno Bonilla,éste presentará candidatura a presidir la Junta de #Andalucia, con lo que ya hay 2 candidatos a la investidura, Moreno y Marín,que son los que deben acordar entre ellos y pactar con #Vox #EleccionesAndalucía #2DCanalSur</t>
  </si>
  <si>
    <t>La tele mi profesión, tuiter un desahogo. Aquí mis opiniones personales.</t>
  </si>
  <si>
    <t>http://lascosasdellazaro.wordpress.com</t>
  </si>
  <si>
    <t>Toni García</t>
  </si>
  <si>
    <t>El PP ha bajado del 26 al 20% y de aprox. 1 millón a 700.000 votos pero Pablo Casado aparece tocando las castañuelas</t>
  </si>
  <si>
    <t>pic.twitter.com/lHzisGl1uk</t>
  </si>
  <si>
    <t>Looking for somewhere (Madrid)</t>
  </si>
  <si>
    <t>Edición literaria, gestión cultural, activismo político.</t>
  </si>
  <si>
    <t>uhdoat</t>
  </si>
  <si>
    <t>Pablo Casado define al Partido Popular como "Centro Derecha" por lo que pienso que se podría definir asi a los partidos políticos españoles: -Podemos/IU: extr. izquierda -Psoe: izda -C's: centro -PP: centro derecha -Vox: derecha -Jons/falange: ultra derecha #AndaluciaL6</t>
  </si>
  <si>
    <t>Seguidor de la U.D. Almería🔴⚪🔴, soy borde por naturaleza pero es lo que tiene ser tauro... ➰</t>
  </si>
  <si>
    <t>Silvia Baquero</t>
  </si>
  <si>
    <t>Estoy alucinando escuchando a Pablo Casado, han perdido 7 escaños y nos está contando el triunfo electoral obtenido. No entiendo nada. Me retiro.</t>
  </si>
  <si>
    <t>Marina Jorquera Sánchez</t>
  </si>
  <si>
    <t>Pablo Casado ha perdido 7 escaños, pero en realidad ha ganado 12. #AndaluciaL6</t>
  </si>
  <si>
    <t>Mazarrón, Murcia</t>
  </si>
  <si>
    <t>Mis padres creen que estudio ingeniería. En realidad me paso el día rodeada de videojuegos, libros y series. También me gustan el fútbol y los ponis 🐴.</t>
  </si>
  <si>
    <t>http://www.instagram.com/marina__nder</t>
  </si>
  <si>
    <t>Borja</t>
  </si>
  <si>
    <t>Ha salido Albert Rivera. Ha salido Pablo Iglesias. Ha salido Santiago Abascal. Ha salido Pablo Casado. ¿Dónde está Pedrito? COBARDE.</t>
  </si>
  <si>
    <t>¡Atleti1903! Madrid y 🇪🇸 | Robledillo de Mohernando 🔝 | I 💓 fútbol ⚽️</t>
  </si>
  <si>
    <t>Lola 🇪🇸</t>
  </si>
  <si>
    <t>Muy bien, Pablo Casado. 💪👌Ya sólo te queda sacudirte lo que te queda de Rajoy. Y estoy segura de que sabrás hacerlo.</t>
  </si>
  <si>
    <t>Badajoz-Coruña-España</t>
  </si>
  <si>
    <t>🇪🇸Madre, abuela y colchonera.</t>
  </si>
  <si>
    <t>Os imagináis un gobierno de Pablo Casado apoyado por los de su derecha? Pues sería como si Rajoy fuera un "rojo extremista". Menuda reforma laboral nos espera.</t>
  </si>
  <si>
    <t>Asturiano .</t>
  </si>
  <si>
    <t>José Luis de Andrés</t>
  </si>
  <si>
    <t>Pablo Casado, has perdido 300.000 votos, que celebras. No veo a Andalucía por ningun lado en tu discurso de perdedor #eleccionesandaluzas2018</t>
  </si>
  <si>
    <t>Economista, contable, emprendedor, extrabajador, padre, curioso, ...</t>
  </si>
  <si>
    <t>Ɓlυггεd</t>
  </si>
  <si>
    <t>El PP ha vuelto' dice Pablo Casado. 7 escaños menos que hace cuatro años, chico de verdad que no te entiendo.</t>
  </si>
  <si>
    <t>Underground.</t>
  </si>
  <si>
    <t>En las escaleras que suben al cielo, hay un desvío al infierno y luego otro...'</t>
  </si>
  <si>
    <t>Dolphin Riot</t>
  </si>
  <si>
    <t>"El partido popular ha vuelto..." dice Pablo Casado, miebtras fantasea com ser Zipi y Abascal, Zape. #AndaluciaL6</t>
  </si>
  <si>
    <t>👽 Aliens or death</t>
  </si>
  <si>
    <t>Pas</t>
  </si>
  <si>
    <t>“El Partido Popular ha vuelto” y Pablo Casado se siente refrendado en su liderazgo. Y todo eso con 7 diputados que se le han independizado en Vox. En fin 🙄</t>
  </si>
  <si>
    <t>Me dejé el sueldo en parar la enmienda a la totalidad del sistema público de salud y su conversión en negocio. Ahora por su defensa basada en mérito y capacidad</t>
  </si>
  <si>
    <t>El Látigo</t>
  </si>
  <si>
    <t>Pablo Casado sale todo contento, como si el PP no hubiese perdido 7 diputados en Andalucía. Y, además , la basura de Vox le parece mejor que la basura independentista. Él si que necesita una revisión.</t>
  </si>
  <si>
    <t>Entro en Twitter para fustigar las injusticias. Trabajo, voy a tener.</t>
  </si>
  <si>
    <t>The Passenger</t>
  </si>
  <si>
    <t>Pablo Casado acaba de denominarse “centro-derecha moderado” justo después de anunciar el programa más de extrema derecha que recuerdo a un partido con posibilidades de gobernar en España.</t>
  </si>
  <si>
    <t>Aterrizador. Ex-militar ex-menorquín. Castefando.</t>
  </si>
  <si>
    <t>Patri🌙</t>
  </si>
  <si>
    <t>Cada vez que Pablo Casado dice ‘centro derecha moderado’ hay algo que se me retuerce dentro, da verdadero miedo</t>
  </si>
  <si>
    <t>Madrid / Lugo</t>
  </si>
  <si>
    <t>Arquitectura UPM http://Instagram.com/patrinm19</t>
  </si>
  <si>
    <t>http://m.greenpeace.org/international/en/high/</t>
  </si>
  <si>
    <t>MJRojo</t>
  </si>
  <si>
    <t>Aún no sé xq está contento Pablo Casado</t>
  </si>
  <si>
    <t>Pablo Casado no hace tampoco autocrítica de los resultados de su partido. Yo no entiendo q perder 7 escaños sea ratificar una gestión.</t>
  </si>
  <si>
    <t>Distrito De Hortaleza</t>
  </si>
  <si>
    <t>🇪🇸de Madrid.Votante socialista hasta la llegada de Pedro Sánchez. ¡ELECCIONES YA!</t>
  </si>
  <si>
    <t>Moretti</t>
  </si>
  <si>
    <t>Y ahora Pablo Casado le dice a los votantes de VOX que vuelvan, que él la tiene más grande y más rojigualda que Abascal. #AscoPuto #AndaluciaL6</t>
  </si>
  <si>
    <t>Mi biografía está en el pantalón de la lavadora.</t>
  </si>
  <si>
    <t>Mariona</t>
  </si>
  <si>
    <t>Lo más preocupante de la noche: muy similares los discursos de Pablo Casado, Albert Ribera y Santiago Abascal. El parlamento andaluz tendrá, en realidad, 59 diputados de extrema derecha #EleccionesAndalucia2018</t>
  </si>
  <si>
    <t>Que la prudència no ens faci traïdors</t>
  </si>
  <si>
    <t>El DiSputado®</t>
  </si>
  <si>
    <t>Pablo Casado anuncia repetir la misma campaña electoral que han hecho en Andalucía, en el resto de provincias españolas. Espero que no se refiera a utilizar a Bonilla.</t>
  </si>
  <si>
    <t>Sn/Sn,Guipúzcoa, España</t>
  </si>
  <si>
    <t>Descartes no conocía a los españoles... @NoSoyLaGenteNo es la cuenta que utilizaré en caso de que me tumben esta cuenta.</t>
  </si>
  <si>
    <t>Juan Luis Nepomuceno</t>
  </si>
  <si>
    <t>Pablo Casado da casi más miedo que Abascal. Al tiempo.</t>
  </si>
  <si>
    <t>Mieres, Asturias, España</t>
  </si>
  <si>
    <t>Atónito más que indignado. Perplejo.</t>
  </si>
  <si>
    <t>http://filodespada.blogspot.com.es</t>
  </si>
  <si>
    <t>Pouer                                    ™</t>
  </si>
  <si>
    <t>¿Estáis escuchando a Pablo Casado? Hacedlo, corred insensatos.</t>
  </si>
  <si>
    <t>El Madriz de Leganés</t>
  </si>
  <si>
    <t>Hipertenso con gafas.</t>
  </si>
  <si>
    <t>Juan Vinuesa</t>
  </si>
  <si>
    <t>Dice Pablo Casado "ya era hora de que el Partido Popular gobernara en San Telmo". Acaban de terminar las elecciones, pierde 7 escaños, no tiene mayoría absoluta (aunque seguramente pueda pactar), pero se permite hablar de forma tan categórica. Ahí están sus maneras. #AndaluciaL6</t>
  </si>
  <si>
    <t>Madrid / Albolote</t>
  </si>
  <si>
    <t>Actor. Periodista especializado en teatro. Profesor de interpretación en @W_Layton_Lab. Granaíno, madridista y paticorto.</t>
  </si>
  <si>
    <t>http://www.calabuch.com/</t>
  </si>
  <si>
    <t>Víctor Sánchez</t>
  </si>
  <si>
    <t>Pablo Casado: "El partido popular ha vuelto". Sí, ha vuelto... Ha vuelto a perder escaños. Como siempre, el PP anotándose los meritos de otros. El PP ha vuelto... a copiar a otros y a cagarla. #VoxAvanza #AndalucíaPorEspaña #EspañaViva</t>
  </si>
  <si>
    <t>Villalbilla, España</t>
  </si>
  <si>
    <t>Ahora no, Churri, que hay que levantarse.</t>
  </si>
  <si>
    <t>🔊 Pablo Casado: “Juanma Moreno va a presentarse a la investidura para poder ser el primer presidente de Andalucía del PP”</t>
  </si>
  <si>
    <t>http://ondace.ro/bnzot2</t>
  </si>
  <si>
    <t>Onda Cero, 24 horas de información y entretenimiento. Te mereces esta radio. Tu #radio</t>
  </si>
  <si>
    <t>D.</t>
  </si>
  <si>
    <t>Pablo Casado autodefiniéndose como centro derecha</t>
  </si>
  <si>
    <t>https://pbs.twimg.com/media/Dtcg4YnWsAA8WU7.jpg</t>
  </si>
  <si>
    <t>Estadio de Mestalla</t>
  </si>
  <si>
    <t>|VCF|💯 🦇</t>
  </si>
  <si>
    <t>Kosako</t>
  </si>
  <si>
    <t>40 años sin preocuparse por Andalucía cuando gobernaba el PP desde Madrid y ahora que ganan por el desencanto de la izquierda va a venir Pablo Casado a decir que "ahora si Andalucía podrá regenerarse". En tus muertos frescos me cago Pablo.</t>
  </si>
  <si>
    <t>Arsa</t>
  </si>
  <si>
    <t>Soy un poco intensito. Yo también quise ser Entrepeneur pero me quedé en entremeses</t>
  </si>
  <si>
    <t>Da la sensación de que Juanma Moreno es un futuro presidente de paja dirigido por Pablo Casado. #AndaluciaL6</t>
  </si>
  <si>
    <t>Sanghelios</t>
  </si>
  <si>
    <t>Comunista. Gatuno. Desordenado. Hago cosas en YouTube. También borré 30000 tuits por si me elegían concejal. Las opiniones vertidas sólo me representan a mí.</t>
  </si>
  <si>
    <t>http://www.youtube.com/TheRtas</t>
  </si>
  <si>
    <t>Alex Triguero</t>
  </si>
  <si>
    <t>Pero por qué Pablo Casado está contento si acaba de perder 7 escaños, que coño le pasa? Se alegra por C's y Vox? POR QUE ES QUE NO LO ENTIENDO. #AndaluciaL6</t>
  </si>
  <si>
    <t>"Es un error creer que uno está rodeado de tontos, aunque sea verdad." Pero claro, esto es Twitter</t>
  </si>
  <si>
    <t>https://www.instagram.com/alextrigueroc/</t>
  </si>
  <si>
    <t>Gordon Glen Rothes</t>
  </si>
  <si>
    <t>Si una cosa ha logrado @VOX_es es que Pablo Casado vuelva a hablar de derecha y de principios. Pero, Pablo, lo siento “te falta peso”</t>
  </si>
  <si>
    <t>Madrid, my heart in Getxo</t>
  </si>
  <si>
    <t>Family man. Father of twelve. Engineer. PhD in BA. Getxotarra. España me duele. #abortocero</t>
  </si>
  <si>
    <t>Mikelangelous🍁🍂</t>
  </si>
  <si>
    <t>Pablo Casado explicando muy feliz declarando que su partido, @CiudadanosCs y @vox_es son lo mismo. Nada nuevo, excepto que Andalucía para de ser una supuesta comunidad obrera a ser una comunidad fascista. #EleccionesAndalucía #EleccionesAndaluzas #2D</t>
  </si>
  <si>
    <t>Spanish World: Lost in Spain</t>
  </si>
  <si>
    <t>El mejor #VIRUS de este mundo son las #RRSS | #LlibertatPresosPolitics | Masterlandia: Segunda Temporada | De ideología zurda | La era Camaleónica ha llegado.</t>
  </si>
  <si>
    <t>https://twitter.com/Dumacbcn/status/1054707692638486528?s=19</t>
  </si>
  <si>
    <t>Skål</t>
  </si>
  <si>
    <t>"Centro derecha moderado reformista liberal" - Pablo Casado SE LLAMA FASCISTA</t>
  </si>
  <si>
    <t>Al fin y al cabo, somos lo que hacemos para cambiar lo que somos' Animació sociocultural i integració social</t>
  </si>
  <si>
    <t>http://curiouscat.me/fight0rdietryin</t>
  </si>
  <si>
    <t>Jordi Martínez 💡</t>
  </si>
  <si>
    <t>Pablo Casado diciendo que el PP es centro-derecha moderado y liberal es lo último que me faltaba por escuchar hoy. Que se deje la droga ya</t>
  </si>
  <si>
    <t>UA 🇩🇪🇬🇧 | Parlem de llibertat entre barrots.</t>
  </si>
  <si>
    <t>Mother of Pandas</t>
  </si>
  <si>
    <t>Pablo Casado diciendo que el PP es centro derecha moderajjJjJJAJAJAAJJAJJ</t>
  </si>
  <si>
    <t>Panda's Mafia (╭ರᴥ•́) Aprendiz de cosplayer // Dibujo y eso //Sígueme en twitch! 👉 http://twitch.tv/CrissOnline // Insta: @Crissonline</t>
  </si>
  <si>
    <t>http://twitch.com/crissonline</t>
  </si>
  <si>
    <t>#AndaluciaL6 A ver si daquién fai´l favor de recorda-y a Pablo Casado que perdieron 7 diputaos nel parllamentu andaluz, ye qu´esti rapaz apuntase los diputaos que ganaron otros partios.</t>
  </si>
  <si>
    <t>Valentín Pozo Torres</t>
  </si>
  <si>
    <t>Para Pablo Casado perder 7 escaños en Andalucía es todo un éxito. Con qué poco se conforman algunos. Ahora a pactar con la ultraderecha.</t>
  </si>
  <si>
    <t>Portavoz del PSOE (partido que ganó las elecciones municipales de 2015) en el Ayuntamiento de Medellín y Secretario General de JJSS Medellín-Yelbes</t>
  </si>
  <si>
    <t>Miguel A. Vallecillo</t>
  </si>
  <si>
    <t>Pablo Casado destaca el "resultado histórico" del PP en las #EleccionesAndaluzas (Han perdido 7 diputados y 300.000 votos).</t>
  </si>
  <si>
    <t>pic.twitter.com/uzsQSqLIQU</t>
  </si>
  <si>
    <t>Parte de TrekantMedia (@trekantmedia) Redactor de PortalCadista (@portalcadista)</t>
  </si>
  <si>
    <t>http://www.portalcadista.com</t>
  </si>
  <si>
    <t>Natalia Gartzia🇪🇸</t>
  </si>
  <si>
    <t>Pablo Casado on fire.</t>
  </si>
  <si>
    <t>De Barakaldo. Licenciada en Geografía. Técnica en Cuidados Auxiliares de Enfermería.</t>
  </si>
  <si>
    <t>Laura Arroyo</t>
  </si>
  <si>
    <t>Pablo Iglesias convoca a las fuerzas sociales y mareas civiles a combatir y frenar al fascismo. Pablo Casado hace un llamamiento a las fuerzas políticas a combatir y frenar al…independentismo. Y después los del PP te dicen que son constitucionalistas… #AndaluciaL6</t>
  </si>
  <si>
    <t>Peruana sin fecha de retorno</t>
  </si>
  <si>
    <t>De día comunicadora política, de noche cantautora, de madrugada insomne. Equipo de Análisis Político,estrategias y marcos (Podemos)</t>
  </si>
  <si>
    <t>http://menoscanas.blogspot.com</t>
  </si>
  <si>
    <t>Josep Ma Llagostera</t>
  </si>
  <si>
    <t>Splitting Paranoid</t>
  </si>
  <si>
    <t>Pablo Casado liderando un triunfo que no ha tenido. Qué ascazo tan apasionante es la política.</t>
  </si>
  <si>
    <t>Badalona. Catalunya</t>
  </si>
  <si>
    <t>Badalona 1955. Militant d'ERC. membre sectorial @immigracio_erc Procuro dir coses serioses, però no sempre ho faig, i en soc l'únic responsable.</t>
  </si>
  <si>
    <t xml:space="preserve">Belgrado - Murcia - Fiji </t>
  </si>
  <si>
    <t>Vidimo se sutra.</t>
  </si>
  <si>
    <t>http://josepmariallagostera.blogspot.com/</t>
  </si>
  <si>
    <t>http://eslaviadelsur.blogspot.com</t>
  </si>
  <si>
    <t>Angel @linkk</t>
  </si>
  <si>
    <t>Pablo Casado insiste en la idea de "liderar todo el espacio a la derecha del PSOE". Con todo lo que ello implica. Y con Joaquín Maroto y Andrea Levy asintiendo sin complejos.</t>
  </si>
  <si>
    <t>Català. D'esquerres. Cinèfil.. i del Madrid.</t>
  </si>
  <si>
    <t>Víctor Pernas</t>
  </si>
  <si>
    <t>Pablo Casado habla de moderación y centralidad. La semana pasada de inmigrantes que practicaban ablaciones en España. Se adapta mejor que el T-1000.</t>
  </si>
  <si>
    <t>Periodista suicida. ¿Por qué iba a estar en Twitter si no?</t>
  </si>
  <si>
    <t>Joni García</t>
  </si>
  <si>
    <t>Pablo Casado está eufórico pero se olvida que su partido en la comunidad que presumiblemente va a gobernar a perdido 7 escaños en el parlamento autonómico. #EleccionesAndalucía #EleccionesAndaluzas</t>
  </si>
  <si>
    <t>Bienvenido a mi cuenta personal. Aquí aplaudo o critico lo que me voy encontrando por el camino. Si no te gusta, no me sigas.</t>
  </si>
  <si>
    <t>José Díaz</t>
  </si>
  <si>
    <t>Pablo Casado, contra el socialismo y el "comunismo chavista", pero a favor del fascismo, post franquista renovado y blanqueado. #EleccionesAndalucía</t>
  </si>
  <si>
    <t>https://pbs.twimg.com/media/Dtcgx1_WoAAXPjW.jpg</t>
  </si>
  <si>
    <t xml:space="preserve">Barcelona // España </t>
  </si>
  <si>
    <t>Creador de @EResguardo. http://elresguardo1o.wixsite.com/sentirypensar</t>
  </si>
  <si>
    <t>https://elresguardo1o.wixsite.com/sentirypensar</t>
  </si>
  <si>
    <t>Bash(edifogu)</t>
  </si>
  <si>
    <t>Del discurso de Pablo Casado se saca su oferta a Vox: un mayor control en las fronteras a cambio del sí.</t>
  </si>
  <si>
    <t>...</t>
  </si>
  <si>
    <t>Bético de corazón. Campeón de la liga pokémon desde los 3 años .LoL. Chocolate. Wasting time.</t>
  </si>
  <si>
    <t>🎄Pablo Ho Ho!🎅🏻</t>
  </si>
  <si>
    <t>“Centro derecha moderado reformista liberal” dice Pablo Casado</t>
  </si>
  <si>
    <t>pic.twitter.com/dRriDe2Wmx</t>
  </si>
  <si>
    <t>Faraón y artisto (y traductor e intérprete)</t>
  </si>
  <si>
    <t>https://www.instagram.com/pablo.b.g</t>
  </si>
  <si>
    <t>Jonatan Martinez</t>
  </si>
  <si>
    <t>Pablo Casado dice que los socios de Pedro Sanchez son poco recomendables, y lo dice la misma noche en que se abraza a VOX para aspirar a gobernar Andalucía. Las opciones identitarias vencen a las propuestas...</t>
  </si>
  <si>
    <t>https://www.facebook.com/1263435581/posts/10217535317275813/</t>
  </si>
  <si>
    <t>Montmeló</t>
  </si>
  <si>
    <t>Montmeloní. Socialista convençut. Primer secretari del @pscvoriental.</t>
  </si>
  <si>
    <t>“El Partido Popular ha vuelto. Ha vuelto para liderar un pacto de derecha sin complejos”. Pablo Casado sin filtros. VOX sólo era la excusa para liberar la extrema derecha del PP y Ciudadanos.</t>
  </si>
  <si>
    <t>https://pbs.twimg.com/media/DtcgwvlW0AADRZn.jpg</t>
  </si>
  <si>
    <t>Pablo Casado pierde 7 escaños y tan contento, dice que fue elegido presidente por los afiliados cuando la elegida fue Soraya Sáenz de Santamaría. Pues empieza bien, mintiendo a los Andaluces. #AndaluciaL6 #EleccionesAndalucia2018</t>
  </si>
  <si>
    <t>Raquel Godos</t>
  </si>
  <si>
    <t>Pablo Casado dice que en Andalucía ha vencido el “centro derecha”. La irresponsabilidad de legitimar el fascismo, de hacerlo pasar por alternativa democrática, es inadmisible para cualquiera que se llame demócrata, más allá de ideologías. #EleccionesAndaluzas</t>
  </si>
  <si>
    <t>Journo @EFEnoticias. US Politics&amp;Congress. @IWMF &amp; @KipProgram Fellow. @ClubdePrensaNTN contrib. @alumniUC3M. HR Master's candidate at @UOCedcp. Antes #Colombia</t>
  </si>
  <si>
    <t>https://www.linkedin.com/in/raquel-godos-de-la-puente-0030a735</t>
  </si>
  <si>
    <t>Manuel Monterrubio</t>
  </si>
  <si>
    <t>Pues no sé por qué está tan contento Pablo Casado cuando su partido ha perdido 7 escaños en el Parlamento andaluz...</t>
  </si>
  <si>
    <t>pic.twitter.com/g5SRsjN5Od</t>
  </si>
  <si>
    <t>Hoy puede ser un gran día.</t>
  </si>
  <si>
    <t>Profesor de enseñanza secundaria. Zaragoza.</t>
  </si>
  <si>
    <t>juls</t>
  </si>
  <si>
    <t>Centro derecha moderado dice Pablo Casado. Irreal.</t>
  </si>
  <si>
    <t>Puente aéreo Ferrol - Valencia</t>
  </si>
  <si>
    <t>Comunicación, RR.PP y Marketing - ESIC</t>
  </si>
  <si>
    <t>LOREN Ipsum dolor si</t>
  </si>
  <si>
    <t>Me está dando mucha vergüenza escuchar a Albert RIvera, Pablo Casado, Pablo Iglesias, Susana Díaz Muchísima vergüenza.</t>
  </si>
  <si>
    <t>Madrid, Lavapiés</t>
  </si>
  <si>
    <t>Periodista autónomo. Me desempeño como editor en @PublishNews_es</t>
  </si>
  <si>
    <t>https://www.linkedin.com/in/lorenherre/</t>
  </si>
  <si>
    <t>Pablo Casado ¿te has enterado que el PP ha perdido 7 escaños y 300 mil votos? #AndaluciaL6</t>
  </si>
  <si>
    <t>pic.twitter.com/eK7pNbqBDv</t>
  </si>
  <si>
    <t>POMPX</t>
  </si>
  <si>
    <t>Pablo Casado, majo, eres mi kryptonita. Los nervios de punta.</t>
  </si>
  <si>
    <t>Mordor, Madrid</t>
  </si>
  <si>
    <t>... y la estrella de la radio acabó con los hombres-orquesta, así que menos quejarse ahora</t>
  </si>
  <si>
    <t>𝕮𝖆𝖗𝖑𝖔𝖘 𝕵𝖎𝖒é𝖓𝖊𝖟</t>
  </si>
  <si>
    <t>Pablo Casado dijo en las elecciones nacionales que debía gobernar la lista más votada (ellos). Hoy aún no se lo he escuchado.</t>
  </si>
  <si>
    <t>Redactor http://LosOtros18.com y http://Vavel.com Subdirector Diario de Málaga. Malagueño, andaluz, futbolero, malaguista, runner, motero, piloto...</t>
  </si>
  <si>
    <t>http://www.losotros18.com/liga-bbva/malaga/</t>
  </si>
  <si>
    <t>Daniel Carretero</t>
  </si>
  <si>
    <t>Pablo Casado en modo voxero.</t>
  </si>
  <si>
    <t>Periodista.</t>
  </si>
  <si>
    <t>Tonisha Vólkova</t>
  </si>
  <si>
    <t>Pablo Casado acaba de decir que el PP es "el proyecto" que creó 8 millones de empleos apartir del 2011...</t>
  </si>
  <si>
    <t>Borgos - Medrid</t>
  </si>
  <si>
    <t>https://curiouscat.me/elektrogeist_</t>
  </si>
  <si>
    <t>Micky Soler Neira</t>
  </si>
  <si>
    <t>“Competencias estatales en Servicios sociales, sanidad y educación” Pablo Casado comprando a las 23.34 el discurso de VOX.</t>
  </si>
  <si>
    <t>Abogado; esportista; de esquerdas. Me llega con mis contradicciones.</t>
  </si>
  <si>
    <t>Noiman Cascade</t>
  </si>
  <si>
    <t>Pablo casado hablando como si no hubiera perdido 7 escaños. Tócate los huevos</t>
  </si>
  <si>
    <t>Kalimantan Occidental, Indones</t>
  </si>
  <si>
    <t>Yo estoy aquí por los jajas</t>
  </si>
  <si>
    <t>Goldilocks</t>
  </si>
  <si>
    <t>El PP ha caído 7 escaños en Andalucia y Pablo Casado está como si hubiera ganado las elecciones con mayoría absoluta</t>
  </si>
  <si>
    <t>When you're different. When you're special....Sometimes you have to get used to being alone. 🛫🌍</t>
  </si>
  <si>
    <t>Carlos Serrano</t>
  </si>
  <si>
    <t>Lo de Pablo Casado es de traca, su partido, el PP, ha perdido 400.000 votos en Andalucía y quien se ha estrellado en el PSOE no es Pedro Sánchez es Susana Díaz que defiende lo mismo que él. #EleccionesAndalucía</t>
  </si>
  <si>
    <t>Periodista, buscador de palabras y gato de callejón.</t>
  </si>
  <si>
    <t>http://elcallejondelgato-carlos.blogspot.com.es/</t>
  </si>
  <si>
    <t>Ramón Lobo</t>
  </si>
  <si>
    <t>Pablo Casado habla de victoria del PP en Andalucía cuando ha perdido siete escaños y ha quedado segundo. Los únicos ganadores son Ciudadanos y Vox</t>
  </si>
  <si>
    <t>Spanish war correspondent for 20 years in Balkans, Chechenia, Africa, Irak and Afghanistan. I would like to write stories in Latin America. Writer and blogger</t>
  </si>
  <si>
    <t>http://www.ramonloboweb.com</t>
  </si>
  <si>
    <t>Español74 🇪🇸🏧</t>
  </si>
  <si>
    <t>Nada, q en el PP no cambiamos. Refiriéndose a podemos: - Santiago Abascal =&gt; Partido chavistas-comunistas - Pablo Casado =&amp;gt; partido poco recomendable #AndaluciaL6 Maricomplejines</t>
  </si>
  <si>
    <t>Padre orgulloso, marido enamorado, currante, español y del atleti. Nadie es perfecto, “FACHA” y de “extrema derecha” 😂😂</t>
  </si>
  <si>
    <t>[mo̞.ɾe̞'kär]</t>
  </si>
  <si>
    <t>Pero Pablo Casado, que tú no has ganado nada, ni tu candidato tampoco; lo ha ganado Vox. #bocachancla</t>
  </si>
  <si>
    <t xml:space="preserve">BCN / SDR </t>
  </si>
  <si>
    <t>Enformàticu &amp; Linguist</t>
  </si>
  <si>
    <t>http://morecar.es</t>
  </si>
  <si>
    <t>Carlos Sosa</t>
  </si>
  <si>
    <t>Pablo Casado dice que intentará formar gobierno en Andalucia, siendo segunda fuerza, perdiendo 400.000 votos y siete diputados y pidiendo el respaldo a Vox. “El centro-derecho sin complejos”, resume.</t>
  </si>
  <si>
    <t>Periodista, director de Canarias Ahora @cahora, edición local de http://eldiario.es</t>
  </si>
  <si>
    <t>http://www.canariasahora.es</t>
  </si>
  <si>
    <t>Ignacio Garcini</t>
  </si>
  <si>
    <t>Pablo Casado se presenta como el centro derecha. No es tonto, el poder siempre está en el centro. Pero no tiene barba que remojar.</t>
  </si>
  <si>
    <t>Español de Tortosa. Brigadier de Ingenieros y lector de http://ElCritico.org Goya me retrató.</t>
  </si>
  <si>
    <t>Israka</t>
  </si>
  <si>
    <t>Pablo Casado habla como si hubiera ganado las elecciones o por lo menos como si no hubiera perdido 7 escaños en #AndaluciaL6 Este tío es muy tonto 😂😂😂</t>
  </si>
  <si>
    <t xml:space="preserve">ValleKas, Madrid </t>
  </si>
  <si>
    <t>Atentando con la imagen y el sonido. Realizador audiovisual🎥 Guitarrista🎸 Rayista⚽ Metalhead🤟🏼 Napalm Death para mi es ASMR.</t>
  </si>
  <si>
    <t>https://youtu.be/dEjgqp5sDps</t>
  </si>
  <si>
    <t>Patricia Blanco</t>
  </si>
  <si>
    <t>Oír a Pablo Casado falar de que os socios de PSOE no goberno central son pouco recomendables cando depende da extrema dereita para gobernar Andalucía parece un chiste, pero non o é.</t>
  </si>
  <si>
    <t>Carral, Galicia</t>
  </si>
  <si>
    <t>Economista e Técnico Superior en Prevención de Riscos Laborais. Concelleira do PSdG-PSOE no concello de Carral. Deputada Provincial. Nai, filla e neta...</t>
  </si>
  <si>
    <t>𝙀𝙙𝙪𝙖𝙧𝙙𝙤 𝙑𝙞𝙡𝙡𝙚𝙣𝙖 💬</t>
  </si>
  <si>
    <t>Que dice Pablo Casado que van a recuperar el gobierno en Andalucía. Siempre que la derecha gana elecciones vuelve al verbo “recuperar” (lo que es suyo). Tiene mérito. Sobre todo cuando ni siquiera ha ganado unas elecciones 🗳</t>
  </si>
  <si>
    <t>pic.twitter.com/nJlwwAj1ST</t>
  </si>
  <si>
    <t>Doctor en #Comunicación. Soluciono problemas #SEO y #SEM. Periodista, publicista y relaciones públicas. Profesor en la UMA.</t>
  </si>
  <si>
    <t>https://www.linkedin.com/in/eduardo-villena/</t>
  </si>
  <si>
    <t>Igual había que decirle a Pablo Casado que su partido ha caído seis puntos y que hoy tienen un 20% frente al 40% de 2012.</t>
  </si>
  <si>
    <t>Redactor de El Independiente. De Valladolid, donde nunca ejercí. Madrid-Bruselas-Madrid. pablo.garcia@elindependiente.com</t>
  </si>
  <si>
    <t>Alex Roga ۞</t>
  </si>
  <si>
    <t>Pablo Casado con el Yo, Yo y todo Yo. Pablo Casado aprovechando las #EleccionesAndalucía para hacer marketing político de España...olvidándose de que está en Andalucía, hablando para Andalucía, que deje a Puigdemont para Catalunya y la Moncloa...que coñazo!</t>
  </si>
  <si>
    <t>SEVILLA / MADRID</t>
  </si>
  <si>
    <t>#Turismo #Viajes y apasionado por la #Fotografia / Futuro blogger / Embajador de #Andalucía con corazón andalusí</t>
  </si>
  <si>
    <t>https://soundcloud.com/alexroga</t>
  </si>
  <si>
    <t>Max Power</t>
  </si>
  <si>
    <t>Pablo Casado, o esta borracho, o nos esta bacilando #EleccionesAndalucia</t>
  </si>
  <si>
    <t>Evergreen Terrace 742, Springfield</t>
  </si>
  <si>
    <t>Me tenéis hasta los cojones.</t>
  </si>
  <si>
    <t>Cocritico</t>
  </si>
  <si>
    <t>Pablo Casado dice que el PP ha vuelto. Pero que me estás contando si habéis perdido 7 escaños. #AndaluciaL6</t>
  </si>
  <si>
    <t>Me encantan los anuncios.</t>
  </si>
  <si>
    <t>Virginia Hernández</t>
  </si>
  <si>
    <t>Dice Pablo Casado que "el Partido Popular baja a las citas electorales". ¿Baja? ¿Desde dónde? ¿A dónde baja? #EleccionesAndalucía</t>
  </si>
  <si>
    <t>San Pelayo</t>
  </si>
  <si>
    <t>Filóloga arrepentida con vocación de cronista. Folclórica punk. Radical. Por extremista y por etimológica. Cuento historias. CM. Rural.//Alcaldesa de #SanPelayo</t>
  </si>
  <si>
    <t>https://virginiahernandezblog.wordpress.com/</t>
  </si>
  <si>
    <t>Dani Pach</t>
  </si>
  <si>
    <t>Pablo casado habla como si hubiese ganado. Ha perdido 7 sillas, por tanto habla por Vox más que por el PP.</t>
  </si>
  <si>
    <t>Madrid / A Guarda</t>
  </si>
  <si>
    <t>Co-fundador en @musichunters_es , RRHH y a veces en @mirolloes. Antes, CM en @ARTFESTaguarda @FIMRI_3punto0 y @FunMusicFest</t>
  </si>
  <si>
    <t>http://musichunters.es</t>
  </si>
  <si>
    <t>Consoli Madruga</t>
  </si>
  <si>
    <t>Pablo Casado dice que es el primer presi del PP elegido por primarias, por el voto directo de los militantes. Se le olvida que no es verdad, que los militantes eligieron a Santamaría #EleccionesAndalucía #AndaluciaL6</t>
  </si>
  <si>
    <t>Periodista. Mejor las noticias que las tertulias. De Extremaydura, pero en Madrid.</t>
  </si>
  <si>
    <t>Adoracion Guaman</t>
  </si>
  <si>
    <t>El discurso del líder de Vox íntegro en la cadena pública, la extrema derecha en directo se hace propaganda. Mientras, Pablo Casado anuncia q el PP optará a la presidencia de Andalucía y de España con el apoyo de Vox cuyo extremismo han blanqueado junto con Ciudadanos #EstánAquí!</t>
  </si>
  <si>
    <t>Quito, Valencia...</t>
  </si>
  <si>
    <t>Profesora de derecho. Doctora por la Universitat de Valencia y por Paris-Nanterre. Aprendiendo entre América Latina y Europa. #BindingTreaty #HumanRights</t>
  </si>
  <si>
    <t>http://www.icariaeditorial.com/libros.php?id=1729</t>
  </si>
  <si>
    <t>David Alvarez</t>
  </si>
  <si>
    <t>Pablo casado apuntándose un tanto, cuando han perdido votos respecto a las ultimas elecciones.</t>
  </si>
  <si>
    <t>Técnico en gestión de los recursos naturales y paisajísticos. Brigadista en extinción de incendios forestales</t>
  </si>
  <si>
    <t>David Martos</t>
  </si>
  <si>
    <t>¿Cómo queda ratificado el programa de Pablo Casado si su partido ha obtenido menos votos en Andalucía que en 2015? #pregunto</t>
  </si>
  <si>
    <t>Journalist. Directing @Kinotico. Producing @PremiosFeroz and other cool projects by @LaTropaProduce. Consigliere. Sibarita. Pesao. Don't you try to catch me!</t>
  </si>
  <si>
    <t>http://www.eldiario.es/kinotico</t>
  </si>
  <si>
    <t>Beatriz Maceda</t>
  </si>
  <si>
    <t>Pablo casado non para de dicir que eles son o centro dereita, pero van governar Andalucía cun partido fascista.</t>
  </si>
  <si>
    <t>Zaragoza, Aragón, España</t>
  </si>
  <si>
    <t>Nai de Nacho Pena Maceda , o meu actor preferido; escritora; lectora; mestra.</t>
  </si>
  <si>
    <t>Maria Teresa Goñi</t>
  </si>
  <si>
    <t>#AndaluciaL6 Pablo Casado no se ha debido de enterar de que han perdido 7 escaños</t>
  </si>
  <si>
    <t>Amante de los huertos urbanos, la política y la literatura. Zaragoza city.</t>
  </si>
  <si>
    <t>Raúl</t>
  </si>
  <si>
    <t>Yo pensaba que Pablo Casado salía hoy a defender que gobierne la lista más votada. #AndalucíaL6 #EleccionesAndalucía</t>
  </si>
  <si>
    <t>Aldeanueva de Ebro, La Rioja</t>
  </si>
  <si>
    <t>Cocina y política. Aquí más de lo segundo. De la #SDLog.</t>
  </si>
  <si>
    <t>Rafa Pagés</t>
  </si>
  <si>
    <t>Pablo Casado sacando pecho del resultado electoral y diciendo que los andaluces han mostrado un claro apoyo a su proyecto. El PP ha perdido 7 escaños... creo que no se ha enterado.</t>
  </si>
  <si>
    <t>Dublin City, Ireland</t>
  </si>
  <si>
    <t>PhD. Playing with AR/VR at @Volograms. Curious and impatient. Satisfied switcher, addicted to tech, sports, and concerts!</t>
  </si>
  <si>
    <t>http://rafapages.com</t>
  </si>
  <si>
    <t>fernando faucha</t>
  </si>
  <si>
    <t>joder pablo casado das arcadas hijo puta</t>
  </si>
  <si>
    <t>El Casar, España</t>
  </si>
  <si>
    <t>o🌵 ig: f.faucha gimn</t>
  </si>
  <si>
    <t>Pablo Casado y el PP, el partido en salir triunfal diciendo que es el puto amo y que ha ganado después de perder 7 escaños. #EleccionesAndalucía</t>
  </si>
  <si>
    <t>Punctuate Life With Adventure ▪#NiUnaMas ▪León.</t>
  </si>
  <si>
    <t>http://www.instagram.com/luis_0042</t>
  </si>
  <si>
    <t>Tamara Montero</t>
  </si>
  <si>
    <t>“Queremos liderar todo lo que esta a la derecha del Partido Socialista”. Pablo Casado tendiendo la mano al fascismo y con toda la desfachatez, automáticamente deslegitimando pactos con el independentismo #VRABO #COHERENCIA #PÁNICO</t>
  </si>
  <si>
    <t>Compostela / A Coruña</t>
  </si>
  <si>
    <t>«y sabía que si existía una tecla que no debía pulsarse, yo terminaría pulsándola». La Voz de Galicia</t>
  </si>
  <si>
    <t>Angel Pastor</t>
  </si>
  <si>
    <t>Pablo casado muy contento de haber perdido porrón de escaños... Si es que es lo mejor que han encontrado buscando entre todos los masters #EleccionesAndalucia2018</t>
  </si>
  <si>
    <t>No dejes que los demás piensen por ti. Escucha, aprende y sé crítico, sobre todo,contigo mismo.</t>
  </si>
  <si>
    <t>Pablo Bello</t>
  </si>
  <si>
    <t>¿Pero qué celebra el PP??? delirante Pablo Casado En Andalucía han vuelto a perder las elecciones, con 300 mil votos menos y 7 diputados autonómicos menos</t>
  </si>
  <si>
    <t>Santiago, Chile</t>
  </si>
  <si>
    <t>Trotamundos 🇨🇱 🇵🇪 🇨🇴 🇪🇸. Papá de Martina. Economista de la Chile y MBA de ESADE. Ex viceministro de telecom de Chile. Ahora en ASIET (y cet·la)</t>
  </si>
  <si>
    <t>https://www.instagram.com/pablobello/</t>
  </si>
  <si>
    <t>Carlos González</t>
  </si>
  <si>
    <t>Vaya, a Pablo Casado se le ha olvidado comentar hoy algo sobre lo de que debe gobernar la lista más votada.</t>
  </si>
  <si>
    <t>Madrid - Latina</t>
  </si>
  <si>
    <t>Vosotros podéis hacer lo que queráis, ya sabéis, estáis en un país libre. Eso sí, que no os vean.</t>
  </si>
  <si>
    <t>Trash Panda</t>
  </si>
  <si>
    <t>Se ha enterado Pablo Casado de que han perdido 7 escaños en Andalucía y que le deja en una situación en la que en la mesa de negociacion va a tener que dar mucho su brazo a torcer? Lo digo por esa sonrisilla bobalicona que me lleva</t>
  </si>
  <si>
    <t>Las Rozas De Madrid</t>
  </si>
  <si>
    <t>AKA Vin/BebeObeso. A veces pongo cosas sobre cosas y doy mi opinión de esas cosas. Y cosas. ADRV</t>
  </si>
  <si>
    <t>Numbers Giveth, ergo CLV 🇮🇱</t>
  </si>
  <si>
    <t>El discurso de Pablo Casado es incompatible con los axiomas de la aritmética. Grecia tiembla. Euclides llora. Pitágoras está convocando un ejército.</t>
  </si>
  <si>
    <t>Moisés no entro en la Tierra Prometida porque golpeó una roca demasiado flojo. Sad.</t>
  </si>
  <si>
    <t>Vareador</t>
  </si>
  <si>
    <t>Pablo Casado... no te emociones!! Que te estás embalando! #EleccionesAndalucía #AndaluacíaL6 #2D #EleccionesAndaluzas</t>
  </si>
  <si>
    <t>Llego a Twitter para varear a políticos bocachanclas/corruptos, caraduras, vividores, famosillos, chupópteros y demás personajes faranduleros de mal vivir..</t>
  </si>
  <si>
    <t>Nancho Merino Glez</t>
  </si>
  <si>
    <t>Que está hablando Pablo Casado con el mitin triunfalista cuando han vuelto a perder escaños en Andalucía y quién se lo ha quitado son la extrema derecha</t>
  </si>
  <si>
    <t>Cinefilo,amo la musica ochentera,Sevillista fiel de siempre,constante,no soporto la mentira y la maldad,rendirse no es una opcion,pq cada momento cuenta,💪💪✌✌</t>
  </si>
  <si>
    <t>Patricia López 💜</t>
  </si>
  <si>
    <t>Pablo Casado necesita un psiquiatra urgente: pierde 7 diputados, le abre la puerta a VOX, Ciudadanos se lo ha merendado y dice que su proyecto se "ha consolidado" 🤦‍♀️ #EleccionesAndalucía</t>
  </si>
  <si>
    <t>https://pbs.twimg.com/media/DtcgbWnW0AMElSJ.jpg</t>
  </si>
  <si>
    <t>Investigo en @publico_es y comento en @TraslapistaTM @LaMananaTVE y @FAQSTV3 Autora de Crímenes sin resolver, El secreto de Bretón y El rastro del asesino.</t>
  </si>
  <si>
    <t>Jorge Osma</t>
  </si>
  <si>
    <t>¿Dónde está ahora el discurso de apoyar la lista más votada, Pablo Casado? 🤔 #AndalucíaL6</t>
  </si>
  <si>
    <t>Politólogo y Máster en #ComPol. Fundé @VozParalela y desde 2016 en @Tinkle_ES. SG de las @JSMCentro y comunicando en @JSMadrid y @PSOEMCentro🌹Soñando, viviendo</t>
  </si>
  <si>
    <t>http://www.vozparalela.es</t>
  </si>
  <si>
    <t>Pablo Casado, que no duda en asociarse con la ultraderecha, comenta sin inmutarse que el PSOE tiene aliados poco recomendables. #AndaluciaL6</t>
  </si>
  <si>
    <t>pic.twitter.com/0vqySdCmwI</t>
  </si>
  <si>
    <t>Alvaro Illesca</t>
  </si>
  <si>
    <t>¿Como puede estar contento Pablo Casado y Juanma Moreno si han bajado en Andalucía 7 parlamentarios? En serio, es de locos</t>
  </si>
  <si>
    <t>Abogado, socio fundador de Acacias Abogados en Cádiz. Cadista hasta la médula. Libre Pensador y republicano convencido.</t>
  </si>
  <si>
    <t>Njolnir</t>
  </si>
  <si>
    <t>Creo que Pablo Casado no se ha dado cuenta de que ha perdido 7 escaños.</t>
  </si>
  <si>
    <t>eSport y Mitología nórdica. @sktelecom_t1 (since 2013) EASY WIN. @isco_alarcon, @DaniCarvajal92 y Don @ToniKroos</t>
  </si>
  <si>
    <t>Alberto Martín</t>
  </si>
  <si>
    <t>#AndaluciaL6 ¡Que alguien le diga a Pablo Casado que ha perdido su partido 7 diputados, por el amor de Dios! Que es como cuando Xavi decía que habían ganado la posesión después de perder 0-4.</t>
  </si>
  <si>
    <t>EnDirecto ▶ Pablo Casado: "Que Pedro Sánchez vaya pensando en convocar elecciones".</t>
  </si>
  <si>
    <t>http://bit.ly/2ADGMbQ</t>
  </si>
  <si>
    <t>https://pbs.twimg.com/media/DtcgYF9UwAAi267.jpg</t>
  </si>
  <si>
    <t>CaChón</t>
  </si>
  <si>
    <t>Pablo Casado diciendo que ganará con mayoría absoluta. No se lo cree ni el. #AndaluciaL6</t>
  </si>
  <si>
    <t>sɐʌɹǝɥ‾lǝıuɐp ☜</t>
  </si>
  <si>
    <t>Ahora no ha dicho Pablo Casado lo de que “gobierne la lista más votada”, no?</t>
  </si>
  <si>
    <t>Extremaydura/Graná/Mundomundiá</t>
  </si>
  <si>
    <t>Profesor #DiseñoGráfico @EASD_merida, esclavo de una tesis, vividor a tiempo parcial y padrazo full time. Coordinando @disenomerida. A veces me creo gracioso</t>
  </si>
  <si>
    <t>http://es.favstar.fm/users/daniel_hervas</t>
  </si>
  <si>
    <t>∫ergio García </t>
  </si>
  <si>
    <t>Pablo Casado: El PP ha vuelto. Pero si han sacado 7 escaños menos 🤦🏻‍♂️ En el PP no hay autocrítica</t>
  </si>
  <si>
    <t>Amante de la tecnología Apple. Con tres medias maratones a mis espaldas, vamos a por la siguiente</t>
  </si>
  <si>
    <t>creo que no aguanto a Pablo Casado perdiendo 7 diputados en Andalucía y considerándose el ganador de estas elecciones</t>
  </si>
  <si>
    <t>y resulta que iba en serio. med USAL🔬💉💊</t>
  </si>
  <si>
    <t>http://www.instagram.com/luisbt3</t>
  </si>
  <si>
    <t>Ramón</t>
  </si>
  <si>
    <t>Pero qué dice Pablo Casado de que el PP ha vuelto? Que habéis perdido 7 escaños en favor de la extrema derecha, chavales!!! Qué me estás contando? #AndalucíaL6</t>
  </si>
  <si>
    <t>Ingeniero de Telecomunicación e investigador en redes. Curioso y viajador. Deporte, cine, música y literatura también tienen hueco. Y Cádiz, siempre presente.</t>
  </si>
  <si>
    <t>Silvia Ruiz</t>
  </si>
  <si>
    <t>Dice Pablo Casado que el PP ha vuelto. Dando por sentado su unión con Vox y Cs. #AndaluciaL6</t>
  </si>
  <si>
    <t>Trabajadora Social. We are the resistance. #Feminismo #República Música</t>
  </si>
  <si>
    <t>Belén Moreno</t>
  </si>
  <si>
    <t>Pablo Casado, definición gráfica:</t>
  </si>
  <si>
    <t>pic.twitter.com/aQAea8YI1G</t>
  </si>
  <si>
    <t>Ataráxica, resiliente. Somos lo que decidimos.</t>
  </si>
  <si>
    <t>Andy Warrol</t>
  </si>
  <si>
    <t>Ya está Pablo Casado mintiendo a la nación. Acaba de decir que fue elegido presidente del PP gracias al voto directo de los afiliados, lo cual es radicalmente falso.</t>
  </si>
  <si>
    <t>El niño de la tiza, la vergüenza del flamenco. Pistolero sin pistolas. Abubilla de carril.</t>
  </si>
  <si>
    <t>http://andywarrol.tumblr.com/</t>
  </si>
  <si>
    <t>Nagore Gore</t>
  </si>
  <si>
    <t>A Pablo Casado se Le ve feliz... Pletórico... Vaya plantel de fachas guapas!!!</t>
  </si>
  <si>
    <t>Bilbao, Euskadi</t>
  </si>
  <si>
    <t>Muy sencillo amiga ME SIGUES, TE SIGO. Gracias por tanto cariño!!!</t>
  </si>
  <si>
    <t>http://www.lasfellini.com</t>
  </si>
  <si>
    <t>pilochu 👣</t>
  </si>
  <si>
    <t>y que pablo casado tengo los cojones de decirse de centro derecha...</t>
  </si>
  <si>
    <t>laura andres piano stan</t>
  </si>
  <si>
    <t>Carmen 💫</t>
  </si>
  <si>
    <t>Pablo Casado debería estartriste por haber perdido 7 escaños y el tío está como si su partido fuera el ganador absoluto</t>
  </si>
  <si>
    <t>Me gustan las venas y el shitposting</t>
  </si>
  <si>
    <t>http://swanqueer.tumblr.com/</t>
  </si>
  <si>
    <t>SooT</t>
  </si>
  <si>
    <t>De que cambio habla Pablo Casado, si #España acaba de echaros del Congreso tras casi 8 años de Gobierno por corruPPtos y ladrones? #Andalucia2018 y el PP</t>
  </si>
  <si>
    <t>Qué emoción! Aprovecho para mandarle un beso a mis padres... Y a mis hermanas que estarán viéndome. Sin ellos, esto hubiese sido imposible</t>
  </si>
  <si>
    <t>Rufus</t>
  </si>
  <si>
    <t>Se va la luz en el discurso de Pablo Casado y suena una voz por ahí: “A ver, ¿quién se ha llevado el sobre de pagar el recibo de Iberdrola esta vez?” #AndalucíaL6 #AndaluciaDecide</t>
  </si>
  <si>
    <t>Whovian, trekker, geek, apasionado de la vida y de mis perros. El cine como afición y la literatura como la respiración, necesaria para seguir viviendo.</t>
  </si>
  <si>
    <t>Alinnnn</t>
  </si>
  <si>
    <t>Bueno pues aquí preparándome para cuando Pablo Casado me quite la nacionalidad</t>
  </si>
  <si>
    <t>No me sigáis</t>
  </si>
  <si>
    <t>Q</t>
  </si>
  <si>
    <t>Pablo Casado robándole el micro a Juanma Moreno Bonilla.</t>
  </si>
  <si>
    <t>Cromagnón 3.0 Yo inventé la primera consola: La Play Stoceno.</t>
  </si>
  <si>
    <t>Maday de Carlos</t>
  </si>
  <si>
    <t>Se meten una ostia de 7 escaños y Pablo Casado se felicita.</t>
  </si>
  <si>
    <t>De Altamira a aquí todo es decadencia. Pablo Ruíz Picasso.</t>
  </si>
  <si>
    <t>http://madayteatro.blogspot.com.es/</t>
  </si>
  <si>
    <t>María Carvajal Bornes</t>
  </si>
  <si>
    <t>-Pablo Casado, PP: " somos un partido de centro-derecha". #AndaluciaL6 -</t>
  </si>
  <si>
    <t>pic.twitter.com/bep2NAwYZG</t>
  </si>
  <si>
    <t>Surprise, AZ</t>
  </si>
  <si>
    <t>I solemny swear that I am up to no good. Todo pasa por algo. chin💫❤[f]🌹. Pablo de Olavide University 📚</t>
  </si>
  <si>
    <t>La Málaga Moderna</t>
  </si>
  <si>
    <t>¿Alguien le ha recordado a Pablo Casado que ha perdido siete diputados?</t>
  </si>
  <si>
    <t>República Pop. De La Victoria</t>
  </si>
  <si>
    <t>Antes todo esto era campo y fotos de @jammarq. Tuitero orgánico por concurso-oposición desde 2011. También en IG https://www.instagram.com/lamalagamoderna/</t>
  </si>
  <si>
    <t>Lucia Vazquez</t>
  </si>
  <si>
    <t>¿Alguien del equipo del PP le ha dicho a Pablo Casado que ha perdido 7 escaños?</t>
  </si>
  <si>
    <t>Educación,Arte, Cultura y Sostenibilidad http://www.educacionysostenibilidad.com</t>
  </si>
  <si>
    <t>Pechitos McTetis</t>
  </si>
  <si>
    <t>Pablo Casado dice que la política del PSOE es sectaría después de decir que han derrotado a podemitas y batasunos ... 😂😂😂😂😂😂😂😂😂</t>
  </si>
  <si>
    <t>Puzzles, the bar. Suazilandia</t>
  </si>
  <si>
    <t>Nací un día y aquí estoy, tocando los cojones.</t>
  </si>
  <si>
    <t>SANDRASARAG</t>
  </si>
  <si>
    <t>Pablo Casado está tan contento por los escaños que ha perdido o por los que ha sacado Vox???</t>
  </si>
  <si>
    <t>Bola de nacimiento,extremeña de adopción y leganense por trayectoria vital.Miro más a la izquierda. Lo mejor son mis amigos y los tres soles que tengo en casa.</t>
  </si>
  <si>
    <t>Mother Mercury.</t>
  </si>
  <si>
    <t>pablo casado en pantalla *preparando la pota*</t>
  </si>
  <si>
    <t>Alcorcón, Madrid.</t>
  </si>
  <si>
    <t>Like a bird set free ♀ 💗📒👶🎒💗</t>
  </si>
  <si>
    <t>https://twitter.com/DrBrianMay/status/409467974429335552</t>
  </si>
  <si>
    <t>Jaime</t>
  </si>
  <si>
    <t>chimponauta</t>
  </si>
  <si>
    <t>Definición de malito: Pablo Casado</t>
  </si>
  <si>
    <t>Guadalajara-Madrid</t>
  </si>
  <si>
    <t>Nací el 17 de Noviembre. ~HASTA EL FINAL VAMOS REAL~. Lo que hacemos en la vida tiene su eco en la eternidad.</t>
  </si>
  <si>
    <t>Viguito</t>
  </si>
  <si>
    <t>La bettycracia va a llegar.</t>
  </si>
  <si>
    <t>Pablo Casado hablando de centro - derecha no dejará que al @ppandaluz le apoye VOX.</t>
  </si>
  <si>
    <t>#EnDirecto | Pablo Casado destaca el "resultado histórico" del PP en las #EleccionesAndaluzas y resalta "el fracaso histórico de Pedro Sánchez porque los andaluces le han dicho un 'no' rotundo": "Que vaya pensando en convocar elecciones"</t>
  </si>
  <si>
    <t>https://pbs.twimg.com/media/DtcgLypXgAAZuc2.jpg</t>
  </si>
  <si>
    <t>Francisco Trejo J.</t>
  </si>
  <si>
    <t>Claro NO, cristalino SI lo ha dejado Pablo Casado. Rivera ha de hacerse a un lado</t>
  </si>
  <si>
    <t>Licenciado y Doctor en Periodismo. Máster en Seguridad y Defensa. Experto en Comunicación, Energías Renovables, Seguridad y Defensa.</t>
  </si>
  <si>
    <t>http://www.enkmedio.es</t>
  </si>
  <si>
    <t>Maria Antònia Serra</t>
  </si>
  <si>
    <t>"Independentistas, batasunos y podemitas". Els enemics de Pablo Casado, que ha definit el PP com "el partido que lidera el centro-derecha en Andalucía".</t>
  </si>
  <si>
    <t>Periodista. Segons Kapuscinski, serveixo per aquest ofici.</t>
  </si>
  <si>
    <t>Roberto Zamarbide</t>
  </si>
  <si>
    <t>Pablo Casado está explicando que los andaluces les han encargado que forme Gobierno y que los andaluces han rechazado hoy las políticas de Pedro Sánchez. Campeón mundial de arrimar el ascua a la piel del oso vendida antes de cazar la sardina</t>
  </si>
  <si>
    <t>Salamanca, Pamplona y por ahí</t>
  </si>
  <si>
    <t>Vivo en el periodismo, huyo de prejuicios y persigo utopías. Si no las alcanzo, confío en encontrar algo bueno por el camino. Y secretario de @_ASPE_</t>
  </si>
  <si>
    <t>http://robertozn.wordpress.com</t>
  </si>
  <si>
    <t>Ariadna Ojeda</t>
  </si>
  <si>
    <t>Que alguien le diga a Pablo Casado que su partido precisamente no es el indicado para dar lecciones sobre corrupción ni de políticas sociales. #EleccionesAndalucía</t>
  </si>
  <si>
    <t>Fisioterapeuta amb menció en neurologia i regidora d'esports i festes i tradicions de l' @ajmontmelo !</t>
  </si>
  <si>
    <t>Estefi</t>
  </si>
  <si>
    <t>Pablo Casado se ha venido arriba 🤦🏼‍♀️</t>
  </si>
  <si>
    <t>HATER/FRIVOLA/PIJA/MACARRA</t>
  </si>
  <si>
    <t>A contracorriente. Incorrecta.</t>
  </si>
  <si>
    <t>http://www.bodouakro.org</t>
  </si>
  <si>
    <t>Pablo Casado aparece victorioso en la sede del PP. ¿Le recordamos que han perdido 12 escaños? Asegura que van a gobernar Andalucía... con los votos de la extrema derecha. #AndaluciaL6</t>
  </si>
  <si>
    <t>Corto Maltés</t>
  </si>
  <si>
    <t>Pablo Casado encantado con los resultados, riéndose. Tremendo.</t>
  </si>
  <si>
    <t>Naviero, contrabandista, encantador de serpientes, mercenario...</t>
  </si>
  <si>
    <t>Cristina Bedmar 🎗️</t>
  </si>
  <si>
    <t>Para Pablo Casado es más recomendable el apoyo de la extrema derecha que el apoyo de la izquierda o de partidos independentistas. Para acabar de redondear el chiste, ha hablado de un Partido Popular 'moderado'. Reír por no llorar. #AndalucíaL6</t>
  </si>
  <si>
    <t>Politòloga. Militant comunista fent cosetes a la @jcc_cat i a @catencomu_podem. Sempre entre llibres i en construcció. #darderisme o barbàrie.</t>
  </si>
  <si>
    <t>http://mirantpelforat.blogspot.com.es</t>
  </si>
  <si>
    <t>David Rojas</t>
  </si>
  <si>
    <t>Pablo Casado da por hecho el pacto con Ciudadanos y Vox, y la presidencia para el PP. Porque asumo que con PSOE y AA no piensa pactar, ¿no?</t>
  </si>
  <si>
    <t>Santander (España)</t>
  </si>
  <si>
    <t>Puede muy bien decirse que cada uno de nosotros es un violinista en el tejado, que intenta ejecutar una tonada grata y sencilla sin romperse la cabeza.</t>
  </si>
  <si>
    <t>ℰli[$♤] 🇪🇸</t>
  </si>
  <si>
    <t>Pues al final Pablo Casado también ha aguantado bien ¿no?</t>
  </si>
  <si>
    <t>Espanna</t>
  </si>
  <si>
    <t>Bióloga. Hago hilos de libros. Anti-CCAA y antiposmodernidad. CAR-CA. Corrijo topónimos. Fan de María Elvira Roca Barea. #Somosguaposylistosynofallalabanderita</t>
  </si>
  <si>
    <t>Antonio Valenciano</t>
  </si>
  <si>
    <t>Pablo Casado habla de buenos resultados, perdiendo miles de votos. Imaginaos en qué espectro político se sitúa...</t>
  </si>
  <si>
    <t>Presidente ANDET Asociación Nacional para la Defensa Efectiva del Trabajador. Doctor en Derecho del Trabajo UV. Abogado. Historia. Autor. Opinión. #Podemos</t>
  </si>
  <si>
    <t>http://andet.org</t>
  </si>
  <si>
    <t>⚡</t>
  </si>
  <si>
    <t>Me da tanto asco Pablo casado que cada vez que sale me dan ganas de vomitar</t>
  </si>
  <si>
    <t xml:space="preserve">Marco Asensio/Isco Alarcón </t>
  </si>
  <si>
    <t>smgc. sc. mm. mb.</t>
  </si>
  <si>
    <t>https://curiouscat.me/Nxlia20</t>
  </si>
  <si>
    <t>Jaime Prujà-Artiaga</t>
  </si>
  <si>
    <t>Pablo Casado dice que se ha pasado 25 días en Andalucía. No está mal, le ha salido a más de 12.000 votos diarios. A menos 12.000 votos diarios. #EleccionesAndalucía</t>
  </si>
  <si>
    <t>Periodista, viajero, pseudofísico. Política, Filosofía, artes, cocina, vino y lengua. Ciencia y Cultura. En rebeldía parcial contra la RAE. Sólo. Guión. Truhán.</t>
  </si>
  <si>
    <t>http://tiempodeovejas.blogspot.com.es</t>
  </si>
  <si>
    <t>Exégeta Ciclotímico</t>
  </si>
  <si>
    <t>21.400 km recorridos por Pablo Casado desde que es presidente del PP #EleccionesAndalucía Ilusionadísimo con el resultado de Vox. Erecto.</t>
  </si>
  <si>
    <t>pic.twitter.com/rENA07ZKIw</t>
  </si>
  <si>
    <t>A veces en Barcelona</t>
  </si>
  <si>
    <t>Mira que son de Chapela! Periodista digital.</t>
  </si>
  <si>
    <t>http://www.pressdigital.es</t>
  </si>
  <si>
    <t>Martí Saballs Pons</t>
  </si>
  <si>
    <t>Pablo Casado dice "una jornada muy alegre para nosotros" y da por hecho que el PP gobernará en San Telmo. Ay.</t>
  </si>
  <si>
    <t>Periodista. Director adjunto de Expansión. Nueva York, Madrid, Lisboa, Buenos Aires, Barcelona, l'Empordà, Manresa... Informar desde donde sea necesario.</t>
  </si>
  <si>
    <t>Dr. Watson</t>
  </si>
  <si>
    <t>Pablo Casado: Lo de la lista mas votada, ya tal. #AndaluciaL6</t>
  </si>
  <si>
    <t>No soy Ruso ni soy un bot.</t>
  </si>
  <si>
    <t>http://www.meneame.net/user/wat_son</t>
  </si>
  <si>
    <t>La demagogia de Pablo Casado es pasmosa. Si extrapolaramos resultados a las Generales se comería un truño.</t>
  </si>
  <si>
    <t>Fuengirola y Mijas</t>
  </si>
  <si>
    <t>En la vida, lamentarse no sirve. O haces cosas, o esas cosas se quedan sin hacer para siempre.</t>
  </si>
  <si>
    <t>http://sieteparaseis.blogspot.com</t>
  </si>
  <si>
    <t>Javier Ortega</t>
  </si>
  <si>
    <t>Acabo de escuchar a Pablo Casado llamando al Pp centro derecha JAJAJAJAJA</t>
  </si>
  <si>
    <t>🍇</t>
  </si>
  <si>
    <t>Felipe Piña™</t>
  </si>
  <si>
    <t>Según Pablo Casado, los andaluces somos el 20% de España. Súper importante. Hace 14 días Andalucía no existía. #EleccionesAndalucia #AndaluciaDecide #EleccionesAndaluzas</t>
  </si>
  <si>
    <t>Córdoba, Andalucía, España</t>
  </si>
  <si>
    <t>SoyToniL</t>
  </si>
  <si>
    <t>Pablo Casado ha hecho perder 7 escaños... salvo que cuente con la marca blanca de VOX?? RT @Piruletadementa: Y ahora sale Pablo Casado a decir que va a gobernar el partido más votado...Jajajajaja jaja!! #Andalucía</t>
  </si>
  <si>
    <t>https://twitter.com/Piruletadementa/status/1069357703477297154</t>
  </si>
  <si>
    <t>Tant les flors com els amics cal saber-los cuidar: les flors sense aigua s'assequen i els amics sense afecte se'n van :-)</t>
  </si>
  <si>
    <t>Pablo Casado comparece para anunciar que el PP liderará el cambio en Andalucía y que Juanma Moreno se presentará a la investidura. Y añade: "Que Pedro Sánchez vaya pensando en convocar elecciones".</t>
  </si>
  <si>
    <t>https://pbs.twimg.com/media/DtcgD1eWoAAXdu2.jpg</t>
  </si>
  <si>
    <t>joxe maria pascual</t>
  </si>
  <si>
    <t>Pablo Casado's txangoak. El tío lleva contados todos los km. que ha hecho desde que es Pp's president. 21.400 km. ¿A qué es lindo este pibe?</t>
  </si>
  <si>
    <t>bizkaia</t>
  </si>
  <si>
    <t>Soy un trabajador de la calle</t>
  </si>
  <si>
    <t>Joana Rei</t>
  </si>
  <si>
    <t>“Jornada muy alegre para nosotros”, dice Pablo Casado... se ha enterado de que ha quedado segundo y ha perdido siete escaños? O es que ahora lo de la lista más votada ya tal?</t>
  </si>
  <si>
    <t>Portuguesa en Madrid. Periodista en @elespanolcom: internacional y últimas noticias. Futbolera e hincha del Sporting de Portugal. joana.rei@elespanol.com</t>
  </si>
  <si>
    <t>http://www.elespanol.com/joana_rei/</t>
  </si>
  <si>
    <t>Aníbal Barca</t>
  </si>
  <si>
    <t>Qué Pablo Casado no se descojone diciendo que son de centro derecha es un mérito.</t>
  </si>
  <si>
    <t>Carthago</t>
  </si>
  <si>
    <t>Soy Aníbal, si no te gusta mi humor, te meto un elefante por el culo 🐘🐘🐘, hate eterno a Roma 🔥🏛️</t>
  </si>
  <si>
    <t>Judit Vega</t>
  </si>
  <si>
    <t>Qué asco Pablo Casado con esa alegría hablando de cambio asumiendo el apoyo de la extrema derecha...</t>
  </si>
  <si>
    <t>Doctora en Sanidad Animal. Del GRANCA. Del @CBLaConki. Reciclo. Afortunada por vivir en mi isla. A veces no hablo de baloncesto.Colaboro en @mundodeportivo</t>
  </si>
  <si>
    <t>Juan Carlos Angulo M</t>
  </si>
  <si>
    <t>Pedro Sánchez no podía ser presidente del Gobierno con 84 diputados, lo decía Pablo Casado, pero Juanma Moreno sí puede presidir la Junta con 26, igualando el peor resultado histórico del partido en Andalucia. Casado está contento dice</t>
  </si>
  <si>
    <t>Periodista en http://www.marbella24horas.es</t>
  </si>
  <si>
    <t>Bosco Vallejo-Nágera Esteban</t>
  </si>
  <si>
    <t>#AndaluciaL6 Predicción: la izquierda twitera va a ser cansina con lo que dijo Pablo Casado de que la lista más votada es la que tiene que gobernar, guarden tweet</t>
  </si>
  <si>
    <t>Estudiante de ingeniería de software. Afiliado a @vox_es</t>
  </si>
  <si>
    <t>Pablo Casado: Los españoles no confían en los aliados de Sánchez, batasunos y podemitas" #EleccionesAndalucia #AndaluciaL6</t>
  </si>
  <si>
    <t>http://bit.ly/2KLQiy7</t>
  </si>
  <si>
    <t>https://pbs.twimg.com/media/DtcgACwWoAMCjFO.jpg</t>
  </si>
  <si>
    <t>Emmett Brown</t>
  </si>
  <si>
    <t>Pablo Casado todavía no se ha enterado de que con su discurso "que vienen los comunistas-bolivarianos-proetarras" va a acabar haciendo presidente a Abascal. También te digo, se le ve al hombre preocupado por tener que pactar con la extrema derecha, eh?</t>
  </si>
  <si>
    <t>La Meseta, Mordor</t>
  </si>
  <si>
    <t>Reconozcámoslo, España empezó a joderse cuando no mandamos a las Supremas de Móstoles a Eurovisión</t>
  </si>
  <si>
    <t>https://www.youtube.com/watch?v=N5FNZoT-DMc</t>
  </si>
  <si>
    <t>Toni Rodero</t>
  </si>
  <si>
    <t>Pablo Casado habla de socios poco recomendables.</t>
  </si>
  <si>
    <t>Pase, pase, tenga la bondad. Vivo en el cine pero trabajo en la tele. en RTPA. Pero esta es una cuenta personal, ya tú sabes.</t>
  </si>
  <si>
    <t>Habla Pablo Casado de que el cambio es necesario en España. Si hace 6 meses gobernaban todavía! Ahora, estos resultados son todo un espaldarazo porque el mismo se involucró en la campaña</t>
  </si>
  <si>
    <t>Reflectora</t>
  </si>
  <si>
    <t>Que carita de regocijo tiene Pablo Casado.</t>
  </si>
  <si>
    <t>En serio?</t>
  </si>
  <si>
    <t>https://instagram.com/reflectora/</t>
  </si>
  <si>
    <t>ns 🤢🎄</t>
  </si>
  <si>
    <t>recordatorio de que isabel torres, la mujer de pablo casado, trabaja en mi antiguo instituto</t>
  </si>
  <si>
    <t>tia NONononono tia porfa</t>
  </si>
  <si>
    <t>Inés García</t>
  </si>
  <si>
    <t>"Que Pedro Sánchez vaya pensando en convocar elecciones", dice el líder de los populares, Pablo Casado. #EleccionesAndalucía #AndaluciaL6 #2D</t>
  </si>
  <si>
    <t>Periodista. Normalmente en @DebatAlRojoVivo. A veces también en @sextaNoticias Intentando hacer de mi burbuja un sitio digno. Las opiniones, solo mías.</t>
  </si>
  <si>
    <t>http://inesgcaballo.blogspot.com</t>
  </si>
  <si>
    <t>Pablo Casado en su discurso hablando de "batasunos-podemitas". ¡Que siga la fiesta!</t>
  </si>
  <si>
    <t>No es cosa menor, dicho de otra manera...</t>
  </si>
  <si>
    <t>Juan Pablo García Iñiguez ☤</t>
  </si>
  <si>
    <t>Pablo Casado hablando despectivamente de podemitas y batasunos deja bastante claro que PP-CDs-VOX sumarán.</t>
  </si>
  <si>
    <t>En una UCIP no muy lejana...</t>
  </si>
  <si>
    <t>Madridista y Nadalista. Pediatra en Cuidados Intensivos Pediátricos. Bioética. MD and PhD. Loco por Inma, Martina y Emma. #PICU. #PedsICU. #Tweetiatrician.</t>
  </si>
  <si>
    <t>Eddie el Grande</t>
  </si>
  <si>
    <t>Pablo Casado compareciendo con los caretos de Maroto y la Levy strauss detrás, son más votos a VOX..</t>
  </si>
  <si>
    <t>Editor del blog La Libreta de Mou y su cuenta de twitter @LaLibretadeMou. Madridista en twitter y en la vida, entre otras muchas cosas. http://www.lalibretademou.es</t>
  </si>
  <si>
    <t>http://www.fotosparadecorar.es</t>
  </si>
  <si>
    <t>Dani Berenguer Belló 🎗</t>
  </si>
  <si>
    <t>Buah::: Pablo Casado está a punto de ponerse un yelmo y liarse a espadazos contra la chusma morisca. El mensaje se hunde en la extrema derecha. VOX marcando la agenda</t>
  </si>
  <si>
    <t>Orito(Alacant)</t>
  </si>
  <si>
    <t>Cada día que paso conviviendo con la humanidad,me doy cuenta que hubiese preferido ser dinosaurio.</t>
  </si>
  <si>
    <t>https://versospedaneos.blogspot.com.es/?m=1</t>
  </si>
  <si>
    <t>Emilio Cabrera</t>
  </si>
  <si>
    <t>La izquierda tiene el discurso perdido. Pablo Casado sale diciendo que él es moderado y cuela. Dice que Podemos es comunista y proetarra y también cuela. Y la izquierda mira.</t>
  </si>
  <si>
    <t>San Fernando-Sevilla-Madrid</t>
  </si>
  <si>
    <t>Periodista, ahora en @masterEACP. En el norte los del sur pasan frío. Buena persona, mejor tuitero.</t>
  </si>
  <si>
    <t>http://instagram.com/emiliocabrera7</t>
  </si>
  <si>
    <t>Beatriz</t>
  </si>
  <si>
    <t>Pablo Casado acaba de decir "batasunos podemitas" y aún hay gente tomándole en serio.</t>
  </si>
  <si>
    <t>Ávila - Madrid - Guadalajara</t>
  </si>
  <si>
    <t>Periodista. Nací en Ávila. Hago cosas con los sonidos y las historias en @SerGuadalajara y actualmente presento su Hoy por Hoy.</t>
  </si>
  <si>
    <t>http://about.me/beatrizcaballero</t>
  </si>
  <si>
    <t>Manu Bonachela</t>
  </si>
  <si>
    <t>Pablo Casado anuncia que abre la puerta para “la alternancia en Andalucía” y Juanma Moreno buscará apoyos para “un gobierno de cambio”. Lee los resultados en clave de premio a una campaña intensiva por su parte y de fracaso para Sánchez. #eleccionesandalucia</t>
  </si>
  <si>
    <t>San Francisco Area, USA/Madrid</t>
  </si>
  <si>
    <t>CDO, Digital Manager. Media. Personal account. RT not endorsement. “Correlation does not imply causation” (etc) 📱🎮💻⌨️📼📷📺</t>
  </si>
  <si>
    <t>http://linkedin.com/in/manuelbonachela</t>
  </si>
  <si>
    <t>Јоѕэр Я. Ѕаlмэѓои🔻</t>
  </si>
  <si>
    <t>Pablo Casado i el PP del centroderecha. Que està más a la derecha del PSOE #AndaluciaDecide</t>
  </si>
  <si>
    <t>𝐒𝐨𝐜 𝐝'𝐀𝐥𝐛𝐚𝐢𝐝𝐚 | 𝐕𝐢𝐬𝐜 𝐚 𝐏𝐚𝐥𝐦𝐚</t>
  </si>
  <si>
    <t>₃₀ | A @IB3noticies.com @IB3radio @IB3televisio | Tinc un document firmat pel rei que diu que soc comunicador audiovisual</t>
  </si>
  <si>
    <t>http://about.me/JosepSalme</t>
  </si>
  <si>
    <t>MARAMA</t>
  </si>
  <si>
    <t>Ahora, aún perdiendo 7 escaños, es cuando Pablo Casado se crece y se le suben los másteres a la cabeza.</t>
  </si>
  <si>
    <t>NUESTRA IGNORANCIA ES EL ARMA MÁS PODEROSA QUE TIENEN LOS POLÍTICOS, NO SEAS IGNORANTE, INFÓRMATE, NO TE DEJES MANIPULAR.</t>
  </si>
  <si>
    <t>Javier _ABG</t>
  </si>
  <si>
    <t>Pablo Casado ve pensando en quien pones de sustituto porque Juanma Moreno Nocilla no pasa el corte.</t>
  </si>
  <si>
    <t>León</t>
  </si>
  <si>
    <t>Oyendo a un hombre,fácil es saber dónde nació;si alaba Inglaterra,es inglés,si habla mal de Prusia,es francés,si habla mal de España,es español.</t>
  </si>
  <si>
    <t>Pere Antoni Pons</t>
  </si>
  <si>
    <t>Pablo Casado pareix un extra idiota de The Sopranos.</t>
  </si>
  <si>
    <t>Campanet, Mallorca</t>
  </si>
  <si>
    <t>Periodista i escriptor. (O viceversa, tant és.) Escric de literatura, art, política... A @diariARA , @ARAbalears , @UHmallorca , @ElTemps_cat i @serra_dor</t>
  </si>
  <si>
    <t>SIE</t>
  </si>
  <si>
    <t>Por algún motivo, Pablo Casado mira de reojo cada dos por tres a Teodoro buscando aprobación, a ver si van ensayando esto que queda mal.</t>
  </si>
  <si>
    <t>Winterfell</t>
  </si>
  <si>
    <t>Estuve atrapada en el día de la marmota y ahora busco una primavera temprana. Para tomarse la vida en serio consulten la prensa online.</t>
  </si>
  <si>
    <t>http://sometimesinvitingeyes.blogspot.com</t>
  </si>
  <si>
    <t>[L]AU</t>
  </si>
  <si>
    <t>Acaba Pablo Casado de decir "Podemitas"??? Qué falta de respeto hacia un adversario político 🤐</t>
  </si>
  <si>
    <t>NCT · SKAM · UNA MEZCLA DE MUCHAS COSAS</t>
  </si>
  <si>
    <t>http://ask.fm/XOXOT12</t>
  </si>
  <si>
    <t>Alejandro Alcaraz</t>
  </si>
  <si>
    <t>¿Entonces Pablo Casado cuenta con los escaños de la ultraderecha para gobernar Andalucía? #AndalucíaL6</t>
  </si>
  <si>
    <t>pic.twitter.com/i7LMDcBuWZ</t>
  </si>
  <si>
    <t>Guionista de TV cartagenero. No hago virales.</t>
  </si>
  <si>
    <t>えいどりあん さん</t>
  </si>
  <si>
    <t>De verdad acaba de llamar Pablo Casado “batasunos” a los vascos, y se ha quedado tan pancho???</t>
  </si>
  <si>
    <t>En mi zulo de los memes</t>
  </si>
  <si>
    <t>🥃 Venga, un whisky y a dormir... 🥃</t>
  </si>
  <si>
    <t>http://PatataLover.com</t>
  </si>
  <si>
    <t>jacintogg</t>
  </si>
  <si>
    <t>📲 Juan Carlos Romero</t>
  </si>
  <si>
    <t>Sr. Pablo Casado, mal vamos si considera un éxito histórico perder 7 escaños en Andalucía!!!. Una pequeña dosis de autocrítica por usted y el Sr. Moreno</t>
  </si>
  <si>
    <t>Linares</t>
  </si>
  <si>
    <t>Castilblanco de los Arroyos</t>
  </si>
  <si>
    <t>PERIODISTA Andaluz. Viajo por lugares, personas y tiempos. Aprendí en @elcorreoweb @cextremadura y @abcdesevilla ¡Cuenta conmigo! 👉 juanca_sev@hotmail.com</t>
  </si>
  <si>
    <t>http://www.juancarlosromero.wordpress.com</t>
  </si>
  <si>
    <t>Sergio Borras</t>
  </si>
  <si>
    <t>Pablo Casado no se ha enterado que han perdido 7 escaños. Estos del PP siempre ganan. Y si no.. Pues lo roban y ya esta! #EleccionesAndalucía</t>
  </si>
  <si>
    <t>Sabiñánigo, España</t>
  </si>
  <si>
    <t>soy como soy. y a quien no le guste. dos problemas tiene.</t>
  </si>
  <si>
    <t>Guillermo🔻</t>
  </si>
  <si>
    <t>M.Rajoy</t>
  </si>
  <si>
    <t>La diferencia de discurso está en que Susana Díaz y Pablo Iglesias han salido alertando del fascismo y Pablo Casado está pensando en pactar con Vox.</t>
  </si>
  <si>
    <t>Palencia , Españistan</t>
  </si>
  <si>
    <t>3/4 Economist at @UVa_es and 1/4 @UMCSLublin - Why? in order to not be fooled by economists 'Todos hablan de libertad, pero ven a alguien libre y se espantan'⚡</t>
  </si>
  <si>
    <t>Marxista-Leninista. Escuela Pública.</t>
  </si>
  <si>
    <t>Jesús Martínez</t>
  </si>
  <si>
    <t>Qué ha fumado Pablo Casado?</t>
  </si>
  <si>
    <t>Abarán, España</t>
  </si>
  <si>
    <t>Software Engineer at @answaretech. Me sobra carnaval. 😎.</t>
  </si>
  <si>
    <t>Raquel Vicente M.</t>
  </si>
  <si>
    <t>Pablo Casado tp está en Sevilla con su candidato: no se esperaba ese resultado y ahora puede "gobernar" Andalucía #EleccionesAndalucia2018</t>
  </si>
  <si>
    <t>Maña Física, profe de mates y ✌ veces mami. Casi todos podemos soportar la adversidad, pero si queréis probar el carácter de un hombre, dadle poder A. Lincoln</t>
  </si>
  <si>
    <t>Encarna IIIRepública</t>
  </si>
  <si>
    <t>#andalucial6 Si Albert Rivera y Pablo Casado fueran realmente demócratas estarían echando chispas, pero sin embargo están encantadísimos sabiendo que gobernaran con uno que es igual que ellos, extrema derecha</t>
  </si>
  <si>
    <t>Raúl J. Usón</t>
  </si>
  <si>
    <t>Canadá</t>
  </si>
  <si>
    <t>Había perdido la noción del tiempo, no sabía cuando fue la última vez que salí para ir a trabajar y así descubrí el inicio de mi exilio económico.</t>
  </si>
  <si>
    <t>Madrid, Zaragoza, Espaňa</t>
  </si>
  <si>
    <t>Estudio Políticas en la UCM. Escribo sobre política y sobre videojuegos. Colaborador en @akihabarablues</t>
  </si>
  <si>
    <t>vaya rostro más duro tiene Pablo Casado diciendo que su mensaje ha calado cuando han perdido el 25% de los respaldos ¡los tienes cuadrados, casado!</t>
  </si>
  <si>
    <t>ArquitectA</t>
  </si>
  <si>
    <t>Escucho a Pablo Casado y... Parece que arrasaron... ¿qué me he perdido?</t>
  </si>
  <si>
    <t>return 0;</t>
  </si>
  <si>
    <t>La prepotencia y soberbia extremas de Pablo Casado, el precio a pagar por ver al PSOE fuera de juego en Andalucía. #AndaluciaL6</t>
  </si>
  <si>
    <t>Aquí cuando no estoy allí</t>
  </si>
  <si>
    <t>Te cojo de los pelos y te igualo las puntas.</t>
  </si>
  <si>
    <t>https://www.youtube.com/watch?v=h3S67Pl4Dik</t>
  </si>
  <si>
    <t>Se le ve feliz a Pablo Casado ante el ascenso de la extrema derecha. Qué cosas.</t>
  </si>
  <si>
    <t>Morning rolls around and it's another day of sun. FCB. ϟ</t>
  </si>
  <si>
    <t>Nacho Ruiz</t>
  </si>
  <si>
    <t>Hablamos ya de todos esos músicos, ejem, “indies” que le doran la píldora a Andrea Levy -en primera plana ahora mismo junto a Pablo Casado- por ver si pescan un retuit, un halago o una presencia en una playlist (cuando no una carantoña)?</t>
  </si>
  <si>
    <t>Cantante de @nine_stories, guitarrista y pianista de @alondrabentley, director de @mnt_ventoux, escritor y periodista. Instagram: @nachoninestories</t>
  </si>
  <si>
    <t>http://www.ninestoriesband.com</t>
  </si>
  <si>
    <t>🌱 Juande G. 🏳️‍🌈</t>
  </si>
  <si>
    <t>Dice Pablo Casado que el resultado del PP en Andalucía es histórico. ¡Y tanto! El peor resultado del partido desde 1990 no merece otro adjetivo.</t>
  </si>
  <si>
    <t>https://pbs.twimg.com/media/DtcfjhkWsAAHvwZ.jpg</t>
  </si>
  <si>
    <t>Madrid (temporalmente) con el ❤️ en Almería (Andalucía)</t>
  </si>
  <si>
    <t>❤️🧡💛💚💙💜 Trabajador Social forjado entre @ualmeria y @unicomplutense. Intentando dejar un mundo mejor del que encontré desde @ajlantia y @redequojoven 🌈☮️🌍♻🐧</t>
  </si>
  <si>
    <t>Jordi🎗</t>
  </si>
  <si>
    <t>"independentistas, batasunos, podemitas". Pablo Casado es casi más de VOX que Abascal.</t>
  </si>
  <si>
    <t>Palamós, Catalunya</t>
  </si>
  <si>
    <t>Culé y catalán, un afortunado. Guardiolista. Deporte y política.</t>
  </si>
  <si>
    <t>Mª Teresa de Austria</t>
  </si>
  <si>
    <t>He empezado a escuchar en la radio un discurso que daba por hecho que era de Santiago Abascal.... Y resulta que era Pablo Casado, qué sorpresa!</t>
  </si>
  <si>
    <t>Zamora - Salamanca</t>
  </si>
  <si>
    <t>Historia del Arte en la USAL. Tenor en proceso. PSOE. Gitano feminista.</t>
  </si>
  <si>
    <t>Adrián</t>
  </si>
  <si>
    <t>Pablo Casado contentísimo por el "resultado histórico". Ha perdido 7 escaños. Pero sabe que gobernará con C's y Vox. #LaPvtaEspaña🇪🇸 #AndalucíaL6</t>
  </si>
  <si>
    <t>Madridismo a pesar de todo. Opositor al Régimen 🇪🇸. Official account. #LibertadPresosPolíticos</t>
  </si>
  <si>
    <t>A Pablo casado alguien le deberia decir que 26 es menos que 33 y que se han dado una buena leche. Pero claro, el pobre no creo que sepa sumar #andalucial6</t>
  </si>
  <si>
    <t>VILLA 🔽</t>
  </si>
  <si>
    <t>"Batasunos podemitas ". Pablo Casado. "izquierda Chavista". Santiago Abascal.</t>
  </si>
  <si>
    <t>Que mi voz suba a los montes y baje a la tierra y truene . M.H</t>
  </si>
  <si>
    <t>Carmen</t>
  </si>
  <si>
    <t>En estos momentos amo a Pablo Casado. " podemitas". Me meo.</t>
  </si>
  <si>
    <t>Sevillana, Cristiana, Cofrade y Bética por la gracia de Dios 💃 RRLL y RRHH en la UPO 🤓📚 ⚡</t>
  </si>
  <si>
    <t>"Con el resultado en Andalucía, histórico, repito", dice Pablo Casado mientras sonríe. Que el resultado es histórico, sí, ¿pero a él nadie le ha dicho que el PP ha perdido 7 escaños?</t>
  </si>
  <si>
    <t>Alejandro.</t>
  </si>
  <si>
    <t>Que alguien le diga a Pablo Casado que hoy no era Pedro Sánchez el que se presentaba a las elecciones andaluzas</t>
  </si>
  <si>
    <t>Dicen que la patria es un fusil y una bandera. Mi patria son mis hermanos que están labrando la tierra.</t>
  </si>
  <si>
    <t>Ateo consecuente</t>
  </si>
  <si>
    <t>Pablo Casado ha perdido siete escaños y está eufórico.</t>
  </si>
  <si>
    <t>pic.twitter.com/iyEYtgX5y2</t>
  </si>
  <si>
    <t>Si estornudo, decid SALUD.</t>
  </si>
  <si>
    <t>21.400 km. Pablo Casado se ha comprado un podómetro.</t>
  </si>
  <si>
    <t>¿Qué hay de lo mío?</t>
  </si>
  <si>
    <t>Peter Sagan</t>
  </si>
  <si>
    <t>En serio Pablo Casado diciendo que son CENTRO-derecha?</t>
  </si>
  <si>
    <t>Libby Hill</t>
  </si>
  <si>
    <t>Pain is never permanent</t>
  </si>
  <si>
    <t>http://petersagan.com</t>
  </si>
  <si>
    <t>A ver Pablo (Casado), que te has dado una hostia como un pan de pueblo. No te flipes.</t>
  </si>
  <si>
    <t>Pablo Casado celebra un pacto sin complejos. “Esta es la casa común de todo lo que está a la derecha del partido socialista”.</t>
  </si>
  <si>
    <t>https://pbs.twimg.com/media/DtcfpZ6XgAAFtMZ.jpg</t>
  </si>
  <si>
    <t>Lechu</t>
  </si>
  <si>
    <t>Cada vez que oigo al imbécil de Pablo Casado decir "batasunos".</t>
  </si>
  <si>
    <t>https://pbs.twimg.com/media/DtcfoqYWoAAIOcB.jpg</t>
  </si>
  <si>
    <t>vostok I</t>
  </si>
  <si>
    <t>Small data doctor.</t>
  </si>
  <si>
    <t>http://paypal.me/lexufistro</t>
  </si>
  <si>
    <t>Otra cosa que no se nos puede olvidar es que se esperaba un duro golpe al PP de Pablo Casado y la pérdida ha sido ínfima. Irá fuerte a las Europeas también.</t>
  </si>
  <si>
    <t>Holi Pablo Casado 😂😂😂😂😂</t>
  </si>
  <si>
    <t>Casado conversa con Moreno y le emplaza a liderar el cambio en Andalucía  El líder del Partido Popular, Pablo Casado, ya ha conversado esta noche con el presidente del PP andaluz y candidato a la Junta, Juanma Moreno, para trasladarle que tiene por delan…</t>
  </si>
  <si>
    <t>https://ift.tt/2U8tLjB</t>
  </si>
  <si>
    <t>Pablo Casado diciendo “derecha”. ¿Tendrá fiebre?</t>
  </si>
  <si>
    <t>Meneillos</t>
  </si>
  <si>
    <t>Ojalá se muriera Pablo Casado</t>
  </si>
  <si>
    <t>Exótico País de Narnia</t>
  </si>
  <si>
    <t>Capitalista convencido, en contra del buenismo, casi Mourinhista. Soy el hombre blandengue del que hablabla el Fary.</t>
  </si>
  <si>
    <t>P👽</t>
  </si>
  <si>
    <t>Pablo Casado echando en cara los casos de corrupción del psoe en Andalucía. A lo mejor se despertó ayer.</t>
  </si>
  <si>
    <t>Mlg - Sev</t>
  </si>
  <si>
    <t>Músico | CSGO &amp; F1</t>
  </si>
  <si>
    <t>http://instagram.com/arandacl11</t>
  </si>
  <si>
    <t>pablo casado esta hablando como santiago abascal?</t>
  </si>
  <si>
    <t>Miss Pretty Potato</t>
  </si>
  <si>
    <t>¿Alguien le ha explicado a Pablo Casado que le guste o no PRIMERO va Susana Diaz a la investidura YA QUE TIENE MÁS VOTOS? #EleccionesAndalucia #AndaluciaL6</t>
  </si>
  <si>
    <t>Independent Republic Of My Home</t>
  </si>
  <si>
    <t>Neurobióloga y rara. Soy millennial de nacimiento pero no de pensamiento. Amante del número Phi. Herpetóloga frustrada y acariciadora de cnidarios.</t>
  </si>
  <si>
    <t>https://www.instagram.com/theladymandarina/</t>
  </si>
  <si>
    <t>☃️ Lesan Especial Jesucristo 🎅</t>
  </si>
  <si>
    <t>Pablo Casado acaba de decir Batasunos podemitas Tal cual</t>
  </si>
  <si>
    <t>Barcelona, Catalunya.</t>
  </si>
  <si>
    <t>🎗️ Realització EMAV / Sobrevivo a base de rock, fútbol, cine, humor y patatas fritas / Catalán de barrio con el puño alzado / El más guiri del sur de Europa.</t>
  </si>
  <si>
    <t>https://www.youtube.com/MarcLesan</t>
  </si>
  <si>
    <t>Pablo Casado avanza, "en mi conversación con Moreno ya hemos quedado en que va a presentarse a la investidura"</t>
  </si>
  <si>
    <t>MARIO AZOFRA AGUDO</t>
  </si>
  <si>
    <t>discurso chulesco de pablo casado</t>
  </si>
  <si>
    <t>Burgalés. Activista para cambiar el mundo . Ldo. en Derecho. Amante de viajar. En el merchandising, publicidad, la papelería y servicios a empresas. Poeta?</t>
  </si>
  <si>
    <t>http://www.bubok.es/libros/15416/Poemas-de-amor-y-llanto</t>
  </si>
  <si>
    <t>Guillermo Garabito</t>
  </si>
  <si>
    <t>Pablo Casado es ese tipo que pierde 7 escaños a manos del populismo y sale de triunfador de la noche, felicitándose de haberse conocido. Diciendo que el único perdedor es Pedro Sánchez.</t>
  </si>
  <si>
    <t>Columnista. En ABC CyL con La sombra de mis pasos y en Onda Cero con Al fondo hay sitio. Presidente @fundacionggg</t>
  </si>
  <si>
    <t>Amparo Soria</t>
  </si>
  <si>
    <t>«’Hay que ver la cantidad de fachas que votan a mi partido» La buena noticia de las elecciones andaluzas para el PP es que Rajoy ya no tiene por qué preocuparse: no les votan a ellos. La mala, es que lo dirige ahora Pablo Casado, que los quiere a todos.</t>
  </si>
  <si>
    <t>https://elpais.com/politica/2018/12/02/actualidad/1543774491_103148.html?id_externo_rsoc=TW_CC</t>
  </si>
  <si>
    <t>Periodista en @levante_emv 🗞</t>
  </si>
  <si>
    <t>RubénGarcíadeAndrés</t>
  </si>
  <si>
    <t>Pablo Casado en su comparecencia sufriendo una amnesia horrible con lo de la lista más votada y lo del pacto de perdedores...</t>
  </si>
  <si>
    <t>Torrecaballeros (Segovia)</t>
  </si>
  <si>
    <t>Periodista y ahora también Alcalde socialista de Torrecaballeros (Segovia). Diferencio con CLARIDAD lo personal y lo laboral. LGTBI. Meteo. Fotografía.</t>
  </si>
  <si>
    <t>http://www.tepierdelaboquita.com</t>
  </si>
  <si>
    <t>Xatu II ☃️🎄❄️</t>
  </si>
  <si>
    <t>Pablo Casado: "Este éxito histórico" Rotulo de abajo: El PP pierde 7 escaños en Andalucía</t>
  </si>
  <si>
    <t>Diciembre pues el peor mes del año</t>
  </si>
  <si>
    <t>Pablo Casado: "Andalucía ha puesto final a un gobierno de comunistas y socialistas #AndaluciaL6 #EleccionesAndalucia</t>
  </si>
  <si>
    <t>https://pbs.twimg.com/media/DtcfUXOWoAMxpCm.jpg</t>
  </si>
  <si>
    <t>Estela Martín</t>
  </si>
  <si>
    <t>#EleccionesAndalucía Pablo Casado: reivindicar nuestros principios y valores sin complejos. Partido que aspira a liderar todo lo que está a la derecha del PSOE. Fracaso histórico de Pedro Sánchez. #AndaluciaL6</t>
  </si>
  <si>
    <t>Madre de dos niños que me dan lecciones de vida cada día, burgalesa, periodista y abogada (miembro de ACIJUR). La vida es un regalo con fecha de caducidad.</t>
  </si>
  <si>
    <t>rasme</t>
  </si>
  <si>
    <t>Y pablo casado sacando pecho habiendo perdido 7 escaños ? @PPopular @CiudadanosCs @vox_es #AndaluciaL6</t>
  </si>
  <si>
    <t>Andrés García</t>
  </si>
  <si>
    <t>Pablo Casado desde Madrid diciendo lo bien que va a trabajar por Andalucía y lo muy importante que es para el, pero no le ha dado tiempo a coger el ave</t>
  </si>
  <si>
    <t>Ingenioso, idiota, eremita de pro, bajista de guitar hero, jefecillo de @MusicZine_es y a veces marido</t>
  </si>
  <si>
    <t>http://musiczine.es</t>
  </si>
  <si>
    <t>Johnny Perovic</t>
  </si>
  <si>
    <t>Pablo Casado, subnormal, que habéis perdido 7 escaños,</t>
  </si>
  <si>
    <t>Tenerife, Banana Republic</t>
  </si>
  <si>
    <t>Multimillonario aburrido</t>
  </si>
  <si>
    <t>No pensé que nunca fuera a decir esto, pero veo un poco de Carlos Right en Pablo Casado.</t>
  </si>
  <si>
    <t>Palma. Madrid.</t>
  </si>
  <si>
    <t>Vivo para darle alimento a mi mente y la publicidad me ayuda a ello. El caos es tan solo un orden por descifrar.</t>
  </si>
  <si>
    <t>Alejandro López</t>
  </si>
  <si>
    <t>Pablo Casado hablando de "evitar a socialistas y comunistas". Abascal hablando de "comunismo chavista" ¿Os queda claro el pacto que va a haber o aún no? #EleccionesAndalucía #AndaluciaL6</t>
  </si>
  <si>
    <t>24. Zalameño. Músico. Viviendo en Londres. Dos canales en YouTube: Territorio Android / La Fábrica de Inquietudes http://youtube.com/territorioandr…</t>
  </si>
  <si>
    <t>https://www.youtube.com/channel/UC4F6Qj-4OOZHtEusuzucU_g</t>
  </si>
  <si>
    <t>Espinosa Pinto</t>
  </si>
  <si>
    <t>El Pp pierde 7 escaños y para Pablo Casado es un resultado histórico para el Pp #AndaluciaL6</t>
  </si>
  <si>
    <t>pic.twitter.com/tXGUUKDdGh</t>
  </si>
  <si>
    <t>Podría ser peor ... podría llover</t>
  </si>
  <si>
    <t>http://rinconskreemer.blogspot.com.es/</t>
  </si>
  <si>
    <t>david serrano</t>
  </si>
  <si>
    <t>El hijo de puta de Pablo Casado hablando de mayoría alternativa, y aún tiene los arrestos de definirse como líder de "la centro-derecha". #AscoInfinito</t>
  </si>
  <si>
    <t>Bruxelles</t>
  </si>
  <si>
    <t>A Pablo Casado le da miedo decir la palabra "corrupción" para definir al PSOE Andaluz. #AndaluciaL6</t>
  </si>
  <si>
    <t>Pasando el rato por aquí. Intentando sobrevivir a la jauría humana. Harto de injusticias y gilipolleces. Siempre aprendiendo. No siempre tengo la razón. Y tú?</t>
  </si>
  <si>
    <t>Pablo Casado celebrando que el PP ha bajado 7 escaños...? O q su filial ha ganado 12?</t>
  </si>
  <si>
    <t>CAFD 📚 UD Bellavista, Real Betis Balompié Instagram: @jesusbosa</t>
  </si>
  <si>
    <t>❌Polillitaaaaa❌♀</t>
  </si>
  <si>
    <t>Pablo Casado dice que el PP es un partido de centro-derecha. Chicos, yo ya lo he escuchado todo en esta vida.</t>
  </si>
  <si>
    <t>Portera del Leganes FS. Poeta novata. Periodista en proceso. Madridista y Pepinera. Iker Casillas como referente. Salud y República❤️💛💜</t>
  </si>
  <si>
    <t>Julia Conde</t>
  </si>
  <si>
    <t>Pues Pablo Casado no se ha dado cuenta de que han perdido 7 escaños #eleccionesandaluzas2018</t>
  </si>
  <si>
    <t>Salamanca - Tenerife</t>
  </si>
  <si>
    <t>Periodista. Máster en Sistemas de Información Digital. Opositando a Gestión Procesal y Administrativa.</t>
  </si>
  <si>
    <t>atoclemente</t>
  </si>
  <si>
    <t>Hostias el puto pablo casado parece voldemort y al lado están todos los mortífagos 😂😂😂😂😂😂😂</t>
  </si>
  <si>
    <t>❤ ⚽❤ coraje y corazón FT9 AG7 Principios💙 💙💛</t>
  </si>
  <si>
    <t>Pablo Casado muy ilusionado y muy contento habiendo perdido 7 escaños... ESTÁN FELICES DE QUE LA ULTRADERECHA HAYA ENTRADO EN LA ECUACIÓN, sin complejos.</t>
  </si>
  <si>
    <t>Doctor D. Sebollaso</t>
  </si>
  <si>
    <t>Por qué está Pablo Casado hablando sobre las elecciones andaluzas en vez del presidente del PP de Andalucía.</t>
  </si>
  <si>
    <t>Siempre con muchas cosas que hacer. Nunca exagero. Antepongo el ocio a la obligación. Si me buscas, me encuentras. #TheBirras #Yehé | I'm a madman with a box</t>
  </si>
  <si>
    <t>https://www.instagram.com/guatdafaq/</t>
  </si>
  <si>
    <t>Neovallense</t>
  </si>
  <si>
    <t>Qué feliz está Pablo Casado.</t>
  </si>
  <si>
    <t>Cine, manga, cómic y otras historias.</t>
  </si>
  <si>
    <t>http://neovallense.blogspot.com</t>
  </si>
  <si>
    <t>dasegease</t>
  </si>
  <si>
    <t>De que elecciones habla Pablo Casado? #AndaluciaL6</t>
  </si>
  <si>
    <t>Kickapoo</t>
  </si>
  <si>
    <t>No soy un completo inútil, por lo menos sirvo de mal ejemplo, mi pasión el rugby, mi meta ser homebrewer</t>
  </si>
  <si>
    <t>http://cervinegra.com</t>
  </si>
  <si>
    <t>🎄 Jesús 🎄</t>
  </si>
  <si>
    <t>Pablo Casado diciendo que el PP lidera el centro derecha. El centro derecha dice el facha.</t>
  </si>
  <si>
    <t>Torre Ravenclaw, Mandalor</t>
  </si>
  <si>
    <t>Generación del 98. Andaluz. Isbilya. Músico. SFC. Juventudes Socialistas.</t>
  </si>
  <si>
    <t>Monolocus</t>
  </si>
  <si>
    <t>Pablo Casado hablando desde Madrid, para que nos hagamos una idea de la fe que tenía en Moreno Bonilla. #EleccionesAndalucía</t>
  </si>
  <si>
    <t>https://pbs.twimg.com/media/DtcfWqsW0AMYPfQ.jpg</t>
  </si>
  <si>
    <t>Cinéfilo. Liberal. Inquisidor. Eso sí.</t>
  </si>
  <si>
    <t>https://laciudadenllamas.wordpress.com/</t>
  </si>
  <si>
    <t>Jose Maria Barroso</t>
  </si>
  <si>
    <t>¿De qué se alegra Pablo Casado si han perdido 7 escaños? #Andalucia #AndaluciaDecide #AndalucíaL6</t>
  </si>
  <si>
    <t>Me interesa el futuro porque es donde voy a pasar el resto de mis días</t>
  </si>
  <si>
    <t>Luis 💯</t>
  </si>
  <si>
    <t>Pablo Casado exultante luego de perder 7 escaños.</t>
  </si>
  <si>
    <t>Tengo pocos principios pero intento ser coherente con ellos.</t>
  </si>
  <si>
    <t>El Davit</t>
  </si>
  <si>
    <t>Pablo Casado esta más contento por los escaños de VOX que de los suyos</t>
  </si>
  <si>
    <t>Buscando la manera de dominar el mundo</t>
  </si>
  <si>
    <t>Que alguien le diga a Pablo Casado que han perdido siete escaños!</t>
  </si>
  <si>
    <t>Pablo Casado ha evitado hablar de corrupción utilizando un 'casos no edificantes' para referirse a Andalucía. El PP sabe que cuando se oye corrupción se nos viene a la mente el PP.</t>
  </si>
  <si>
    <t>Maroto justo detrás de Pablo Casado (23:29). El que quiera entender que entienda.</t>
  </si>
  <si>
    <t>🧟‍♂️ ˗ˏˋ El Nota ˊˎ˗ 🧟‍♂️</t>
  </si>
  <si>
    <t>#AndaluciaL6 #EleccionesAndalucía Pablo Casado, hijo mío, que recuperación del espacio si habéis perdido 7 escaños mari?</t>
  </si>
  <si>
    <t>Melêe Island</t>
  </si>
  <si>
    <t>#Periodista y #Chef. #Journalist &amp; #Chef. Juntaletras y calientasartenes. Mi hobby es mi trabajo. #Sport &amp; #VideoGames. Mi signo del zodiaco es #Batman. 99,1%</t>
  </si>
  <si>
    <t>Oigo hablar a Pablo Casado... hablar mucho... pero, creerse lo que está diciendo, no suena a que se lo crea #AndalucíaL6 #AndaluciaDecide</t>
  </si>
  <si>
    <t>FUTURE★FISH</t>
  </si>
  <si>
    <t>Pablo Casado me da tanto asco como miedo.</t>
  </si>
  <si>
    <t>Madrid / Yorozuya Gin-Chan</t>
  </si>
  <si>
    <t>I'm a bad bitch, you can't kill me. Historia UCM. Te quiero, Kim Namjoon. Stan Day6.</t>
  </si>
  <si>
    <t>https://www.youtube.com/playlist?list=PLflX-6OdGfGssnbY_8o3rAL3u0asmmgVm&amp;disable_polymer=true</t>
  </si>
  <si>
    <t>Agus</t>
  </si>
  <si>
    <t>Pablo Casado hablando de la corrupción del PSOE es cinismo del bueno #AndaluciaL6 #EleccionesAndalucia</t>
  </si>
  <si>
    <t>Persigo una utopía pero ésta se aleja cada vez que me acerco, entonces... ¿para qué sirve una utopía? pues para eso, para caminar. //// Animalista</t>
  </si>
  <si>
    <t>乇ㄥ 卩ㄩㄒㄖ 山卂乙乇♋</t>
  </si>
  <si>
    <t>Casado diciendo que es centro derecha y en dos semanas estaran firmando con fascistas No sé Rick parece falso</t>
  </si>
  <si>
    <t>en el parque</t>
  </si>
  <si>
    <t>heriotza faxismoari 💔044💔 14/4❤️💛💜</t>
  </si>
  <si>
    <t>http://instagram.com/pablo_waze</t>
  </si>
  <si>
    <t>Pablo Casado comparece en Génova "Los andaluces han pedido un cambio" y asegura que "empezamos a reconquistar el espacio". #EleccionesAndalucía</t>
  </si>
  <si>
    <t>Habla Pablo Casado...</t>
  </si>
  <si>
    <t>Lure</t>
  </si>
  <si>
    <t>"Muy ilusionados y muy contentos" Pablo Casado no se ha enterado que tb han perdido.. de hecho han bajado 7 escaños. #eleccionesAndalucía #AndalucíaL6</t>
  </si>
  <si>
    <t>Eduardo Crego Alonso</t>
  </si>
  <si>
    <t>Pablo Casado se hace ganador #EleccionesAndalucía</t>
  </si>
  <si>
    <t>pic.twitter.com/gcK35YfwNr</t>
  </si>
  <si>
    <t>Proxecto de profesor de matemáticas... Gastroaficionado #DisfrutandoDaVida. Espero convertirme, nun futuro, en pensionista ;-)</t>
  </si>
  <si>
    <t>Marta Landín</t>
  </si>
  <si>
    <t>#PP Pablo Casado: “Es un día històrico. Los andaluces han pedido cambio y han encargado al PP que lidere ese cambio”</t>
  </si>
  <si>
    <t>Periodista. Ahora en Telemadrid.</t>
  </si>
  <si>
    <t>yepayei</t>
  </si>
  <si>
    <t>#AndaluciaL6 Pablo Casado como Albert Rivera, encantados de apoyarse en la extrema derecha.</t>
  </si>
  <si>
    <t>Bárbara.</t>
  </si>
  <si>
    <t>No lo acepto, no puedo, y que salga Pablo casado ahora creyéndose ganador me toca las narices, que ha pasado Andalucía?</t>
  </si>
  <si>
    <t>España / Argentina</t>
  </si>
  <si>
    <t>22.UAL. #WWAT #ROWYSOT</t>
  </si>
  <si>
    <t>https://pbs.twimg.com/media/BTB4R1QIEAAhP2v.png</t>
  </si>
  <si>
    <t>-.-</t>
  </si>
  <si>
    <t>cambiando de santiago abascal a pablo casado jajajajajajaja apaga y vámonos</t>
  </si>
  <si>
    <t>allives</t>
  </si>
  <si>
    <t>if looks could really kill then my profession would be staring</t>
  </si>
  <si>
    <t>https://www.instagram.com/littlefishibiri/</t>
  </si>
  <si>
    <t>Ciudad Real, España</t>
  </si>
  <si>
    <t>Sale Pablo Casado muy contento como si hubiera ganado las #eleccionesAndalucía #AndalucíaDecide y no duda en sentarse con antidemocráticos como Vox</t>
  </si>
  <si>
    <t>Paco ( ͡° ͜ʖ ͡°)</t>
  </si>
  <si>
    <t>Como se flipa el Pablo Casado</t>
  </si>
  <si>
    <t>Afganistán, Al qaeda</t>
  </si>
  <si>
    <t>Esclavo del capital al servicio del Ibex, o eso dicen por ahí. Remain Stoic!</t>
  </si>
  <si>
    <t>¿Pero alguien de verdad se toma en serio a Pablo Casado, que da los discursos partiéndose de risa? ¿En serio?</t>
  </si>
  <si>
    <t>Úbeda, España</t>
  </si>
  <si>
    <t>Desequilibrado mental. Real Madrid. Con cierta relación entre ambos.</t>
  </si>
  <si>
    <t>Josue Fumero Marrero</t>
  </si>
  <si>
    <t>La risa de Pablo Casado. Madre mía qué falsa es. Han perdido 7 escaños. Que no se le olvide.</t>
  </si>
  <si>
    <t>Tenerife Islas Canarias Spain</t>
  </si>
  <si>
    <t>Ingeniero en Informática. CEO http://xn--internetsimo-zfb.com. Desarrollo web desde 1995 y Asesor en Tecnología. AMO el cine, lectura, el HardRock, Heavy Metal y fútbol</t>
  </si>
  <si>
    <t>http://www.internetisimo.com</t>
  </si>
  <si>
    <t>Piruleta de menta</t>
  </si>
  <si>
    <t>Y ahora sale Pablo Casado a decir que va a gobernar el partido más votado...Jajajajaja jaja!! #Andalucía</t>
  </si>
  <si>
    <t>No me gusta este mundo...y se me nota!!</t>
  </si>
  <si>
    <t>Carles Costa</t>
  </si>
  <si>
    <t>Pablo Casado: “els andalusos han demanat al PP que lideri una alternativa”.</t>
  </si>
  <si>
    <t>BCN (Abans París/NYC/Londres)</t>
  </si>
  <si>
    <t>Economista. Periodista. Presento l’informatiu 12-14h a @tv3cat @324cat. Abans, corresponsal a París i Londres 10 anys. @TrinxeresTV3 al ❤️. Profe @UPFBarcelona</t>
  </si>
  <si>
    <t>Sergio Carrasco</t>
  </si>
  <si>
    <t>Oyendo a Pablo Casado parece que el PP no ha perdido 7 diputados...</t>
  </si>
  <si>
    <t>Ibiza</t>
  </si>
  <si>
    <t>Licenciado en Derecho e Ingeniero, entre otros. Últimamente mucho blockchain, smart contracts, IA y Machine Learning. En breve nuevos proyectos!</t>
  </si>
  <si>
    <t>https://www.faseconsulting.es</t>
  </si>
  <si>
    <t>InfoRAC1</t>
  </si>
  <si>
    <t>Pablo Casado, @PPopular: "ha sido un resultado histórico; el mandato de los andaluces es que quieren un cambio y han encargado al PP que configure una mayoría alternativa". #inforac1</t>
  </si>
  <si>
    <t>twitter de la redacció d'informatius de @RAC1. Correu electrònic: info@rac1.net.</t>
  </si>
  <si>
    <t>http://www.rac1.cat</t>
  </si>
  <si>
    <t>Pablo Casado, el segundo gran triunfador de esta noche tras Abascal. Toma nota, Pablito, se acabaron las actitudes rajoyescas.</t>
  </si>
  <si>
    <t>Ah, no lo sé.</t>
  </si>
  <si>
    <t>Cuando te interesa algo que a los demás no, lo educado es callarse.</t>
  </si>
  <si>
    <t>Jose PdL</t>
  </si>
  <si>
    <t>Qué contento está Pablo Casado, con todo lo Constitucionalista que es él 😏</t>
  </si>
  <si>
    <t>Madrid / Cádiz</t>
  </si>
  <si>
    <t>Creatividad en Social Media. Llevo la ironía en la sangre. Léaseme bien, aunque sea poco, pero bien.</t>
  </si>
  <si>
    <t>http://Instagram.com/j_pdl</t>
  </si>
  <si>
    <t>Sergio Riquelme</t>
  </si>
  <si>
    <t>Pablo Casado es mas de Vox que Santi</t>
  </si>
  <si>
    <t>Paseo de los Melancólicos</t>
  </si>
  <si>
    <t>“Maneras de viajar a la gloria gritando que VIVA MI ATLETIII DE MADRID</t>
  </si>
  <si>
    <t>Ahora habla Pablo Casado... Lo que me faltaba ya para pegarme un tiro</t>
  </si>
  <si>
    <t>recibimiento a Pablo Casado</t>
  </si>
  <si>
    <t>pic.twitter.com/l2EK7SV4BL</t>
  </si>
  <si>
    <t>Trendinalia España</t>
  </si>
  <si>
    <t>Albert Rivera y Pablo Casado' estuvo el sábado 1 como Tendencia en España durante 11 horas:  #trndnl</t>
  </si>
  <si>
    <t>http://www.trendinalia.com/twitter-trending-topics/spain/spain-181201.html</t>
  </si>
  <si>
    <t>Las tendencias de Twitter, Google y YouTube en la geografía española — #trndnl</t>
  </si>
  <si>
    <t>http://trendinalia.com/twitter-trending-topics/spain/</t>
  </si>
  <si>
    <t>Briguap🦁</t>
  </si>
  <si>
    <t>Bueno y para rematar el postre... Pablo Casado.</t>
  </si>
  <si>
    <t>Pequeña de las dudas infinitas</t>
  </si>
  <si>
    <t>Vivir el amor como si fuera una balada de Extremoduro. Adicta a carpetear, a la poesía y a la música (y a la telebasura, no son incompatibles) 🧡</t>
  </si>
  <si>
    <t>http://ask.fm/bribriblibli_9?utm_source=twitter&amp;utm_medium=social&amp;utm_campaign=profile_own</t>
  </si>
  <si>
    <t>Os estáis equivocando con los memes de #EleccionesAndalucia. Ya sabemos que C's lo tiene jodido para probar que es de centro con lo de Vox. Ya sabemos que Pablo Casado es un puto farsante al hablar de "lista más votada". Lo que debemos ver es el PUTO FASCISMO.</t>
  </si>
  <si>
    <t>Danny Svensonn</t>
  </si>
  <si>
    <t>Pablo Casado venía a reunificar el centro derecha............ Ejem ejem</t>
  </si>
  <si>
    <t>York, England</t>
  </si>
  <si>
    <t>🇮🇨 🇪🇸 🇪🇺 | Políticas y Sociología en @UC3m | Árbitro | Social Media Expert | Event Planner en UK 🇬🇧</t>
  </si>
  <si>
    <t>http://www.instagram.com/dannysvensonn</t>
  </si>
  <si>
    <t>Perico de los Palotes</t>
  </si>
  <si>
    <t>#EleccionesAndalucía ¿Cómo era? Que el cuñao Rivera había tenido un mini mitín, que Casado era un mamarrasho, según @TeresaRodr_ ¿Y ahora? El camarada Pablo incitando a la violencia.</t>
  </si>
  <si>
    <t>República de Cerro Azul</t>
  </si>
  <si>
    <t>«Soy un tipo sencillo en la superficie pero hijueputamente complicado si escarbas donde no debes» FBA</t>
  </si>
  <si>
    <t>Aurelio Ruiz Enebral</t>
  </si>
  <si>
    <t>Pablo Casado podría hacer el gran troleo al PSOE: "Venga, Susana, el PP te apoya en la investidura... pero el PSOE me vota a mi en el Congreso para volver al Gobierno" 😃</t>
  </si>
  <si>
    <t>Periodista. Escribo en @ecd_ @ConfiAutonomico @Monarquia_Confi. Apasionado de los periódicos y la política. Proyecto de contraportadista.</t>
  </si>
  <si>
    <t>mule</t>
  </si>
  <si>
    <t>Entonces, ¿Pablo Casado va a presidir la Junta de Andalucía?</t>
  </si>
  <si>
    <t>cartagenero,colchonero y creyente del cambio social y político para lograr una sociedad más igualitaria. soñando con ser gestor turístico. CM de @ct_turistica</t>
  </si>
  <si>
    <t>Ismael Jimenez</t>
  </si>
  <si>
    <t>Franco Del Valle y Rufián en Waterloo ,el Coleta en Galapagar ,Pedro en la Moncloa y Pablo Casado en paradero desconocido, VOX en España 🇪🇸 Y Suzana bailando en el corral de la Moreria ,</t>
  </si>
  <si>
    <t>palma de mallorca</t>
  </si>
  <si>
    <t>MADRIDISTA HASTA LA MUERTE ,UNA HORA ANTES ME HARÉ CULÉ ,,,,,,,ANTI PODEMITA,,,</t>
  </si>
  <si>
    <t>Estimulotaboo</t>
  </si>
  <si>
    <t>#EleccionesAndalucía Que el titular de pablo casado sea :"sacaremos al psoe de la junta" solo demuestra la asquerosa ansia de poder que han perdido</t>
  </si>
  <si>
    <t>Apuntando maneras http://Instagram.com/a.leeso/</t>
  </si>
  <si>
    <t>http://stimulationtabou.wordpress.com</t>
  </si>
  <si>
    <t>Daniel Expósito</t>
  </si>
  <si>
    <t>VOX le tiene que agradecer su resultado a todos los medios que se esfuerzan a diario por blanquear el fascismo, a los 40 años de saqueo del PSOE, al discurso radical de Pablo Casado y, por supuesto, a esta izquierda inepta que puebla el continente entero #eleccionesAndalucía</t>
  </si>
  <si>
    <t>Odontólogo de los que ya no quedan</t>
  </si>
  <si>
    <t>JIM</t>
  </si>
  <si>
    <t>Mucho ojo!! Teresa Rodríguez y Pablo Iglesias llamando a tomar las calles contra la ultraderecha . Abascal,Casado y Rivera no abráis la puerta de casa por la noche ,Calvo Sotelo la abrió</t>
  </si>
  <si>
    <t>Dios,patria y familia Por una España viva, una España grande. Religion Cholista, patria España y familia numerosa</t>
  </si>
  <si>
    <t>Era él</t>
  </si>
  <si>
    <t>Pues el resultado de #JuanmaMoreno es una hostia de @sorayasds a Pablo Casado.</t>
  </si>
  <si>
    <t>pic.twitter.com/sV48Pagc9q</t>
  </si>
  <si>
    <t>Un bético es un sevillista que aún no ha madurado.</t>
  </si>
  <si>
    <t>http://ramblalibre.com/2018/12/02/pablo-casado-salva-bastante-mas-que-los-muebles/#.XARZR9qoEj0.twitter</t>
  </si>
  <si>
    <t>Que esté tranquila Susana Díaz porque el PP de Pablo Casado, ese que fue elegido con los votos de Cospedal, va a respetar lo de que gobierne la lista más votada y no se va a aliar con Arrimadas y Vox para dirigir Andalucía.</t>
  </si>
  <si>
    <t>Miguel Delgado Cerero</t>
  </si>
  <si>
    <t>Susana Díaz, derrotada Pablo Casado, reconfortado Albert Rivera, descolocado Pablo Iglesias, diluido Aparece Santiago Abascal. #AndaluciaL6 #EleccionesAndaluciaA3N #AndalucíaDecide</t>
  </si>
  <si>
    <t>Escacena del Campo, Huelva</t>
  </si>
  <si>
    <t>Periodismo en @UCLM_es. Hago radio en @RadioLuna107, diseño publicaciones y dirijo @EscacenaCofrade | Informo sobre el #CampodeTejada</t>
  </si>
  <si>
    <t>https://www.youtube.com/channel/UChEaFj92sE0smKZ16SS1fZw</t>
  </si>
  <si>
    <t>Silvia López</t>
  </si>
  <si>
    <t>Primera victoria de Pablo Casado al frente del PP que ‘resiste’ en Andalucía, feudo socialista. Nueva derrota de Pablo Iglesias, a quién se le cae el chiringuito. Sangría en un PSOE de Pedro Sánchez que no está ni se le espera esta noche. Y sorpasso de Vox #EleccionesAndalucia</t>
  </si>
  <si>
    <t>Alcalaina. Periodista. Enamorada de los perros, los libros y la música. Creo en el poder de la palabra. 'No envy no fear'.</t>
  </si>
  <si>
    <t>https://es.linkedin.com/in/silvia-lópez-giménez-6041b1b9</t>
  </si>
  <si>
    <t>A Pablo Casado 🇪🇸 se le acaba lo de hablar de "pacto de perdedores". A Albert Rivera 🇪🇸 se le acaba lo del "gobierno Frankenstein". #PPCsVox #AndaluciaL6</t>
  </si>
  <si>
    <t>Ojo, que Susana Díaz podría gobernar porque Pablo Casado decía aquello de la lista más votada.... RT @Mhemeroteca: Cuando el PP pedía que se respetara "la lista más votada para formar gobierno" ¿y ahora? #AndaluciaL6 #EleccionesAndalucia #Elecciones2D</t>
  </si>
  <si>
    <t>PP de Sevilla</t>
  </si>
  <si>
    <t>Pablo Casado emplaza a Juanma Moreno a liderar el cambio en Andalucía  #juanmapresidente #2D #EleccionesAndalucia</t>
  </si>
  <si>
    <t>https://ppsevilla.com/pablo-casado-emplaza-a-juanma-moreno-a-liderar-el-cambio-en-andalucia/</t>
  </si>
  <si>
    <t>Twitter oficial del Partido Popular de Sevilla</t>
  </si>
  <si>
    <t>http://www.ppsevilla.com</t>
  </si>
  <si>
    <t>Hace 3 días Pablo Casado ya lo tenía claro, amiguis</t>
  </si>
  <si>
    <t>https://www.farodevigo.es/espana/2018/11/29/casado-evita-censurar-vox-criticar/2007667.html</t>
  </si>
  <si>
    <t>Voxjaen</t>
  </si>
  <si>
    <t>Andalucía marcará hoy el futuro de Pedro Sánchez y de Pablo Casado  via @elmundoes</t>
  </si>
  <si>
    <t>https://www.elmundo.es/espana/2018/12/02/5c02dc68fc6c83e67a8b45a2.html</t>
  </si>
  <si>
    <t xml:space="preserve">France </t>
  </si>
  <si>
    <t>La vie, ce n'est pas d'attendre que l'orage passe, c'est d'apprendre à danser sous la pluie. - Sénèque</t>
  </si>
  <si>
    <t>Paco Cuellar</t>
  </si>
  <si>
    <t>Hay que felicitar a Pablo Casado: le ha hecho una magnífica campaña a VOX.</t>
  </si>
  <si>
    <t>Terrícola, ingeniero de profesión, ecologista activo desde 1986, perroflauta de izquierdas y ateo. Luego, para los de derechas, no tengo razón en nada.</t>
  </si>
  <si>
    <t>http://www.jfcuellar.info</t>
  </si>
  <si>
    <t>JoseDominguez NoTTIP</t>
  </si>
  <si>
    <t>#AndaluciaL6 Seguro que Pablo Casado, no hará un pacto de perdedores.😅😅😅</t>
  </si>
  <si>
    <t>Si algún día desaparecieran las Banderas, y los libros sagrados de Religión....Eso, SI seria un paso adelante.</t>
  </si>
  <si>
    <t>Mauro Entrialgo</t>
  </si>
  <si>
    <t>La opinión de Pablo Casado: RT @pablocasado_: El PSOE debe dedicarse a ganar elecciones a @ppopular en lugar de hacer pactos de perdedores para intentar desalojarle.</t>
  </si>
  <si>
    <t>https://twitter.com/pablocasado_/status/876818782030835712?s=21</t>
  </si>
  <si>
    <t>Dibujante, entre otras cosas</t>
  </si>
  <si>
    <t>http://www.mauroentrialgo.com</t>
  </si>
  <si>
    <t>Frankk</t>
  </si>
  <si>
    <t>Mención especial a Pablo Casado. Si te dedicas a copiar a la extrema derecha en su mensaje y formas. No es que les robes votos, es que acabas validando su discurso, y no eres lo suficientemente bueno para ganar les en su propio terreno. Gilipollas.</t>
  </si>
  <si>
    <t>dubrovnik</t>
  </si>
  <si>
    <t>Kaurismaki es una Cuquifonía.Veganismo, cine, series y trap. Me faltan proteínas,B12 y dinero,pero sobretodo proteínas y b12. Punkcela.</t>
  </si>
  <si>
    <t>CryptoLocker de atar 🐾</t>
  </si>
  <si>
    <t>Si Albert Rivera y Pablo Casado se meten en el teletransporte de “La mosca”, sale Javi Pérez Campos. #CuartoMilenio</t>
  </si>
  <si>
    <t>Durango, País Vasco</t>
  </si>
  <si>
    <t>Es lo que tiene mezclar Ptchatpschup y Colchkaptrato, que río volverse melcocha.</t>
  </si>
  <si>
    <t>http://durandog.org</t>
  </si>
  <si>
    <t>Ana Sempere</t>
  </si>
  <si>
    <t>En un pais democrático ya habrían salido Albert Rivera y Pablo Casado para negar con rotundidad cualquier pacto con un partido fascista. Pues eso, en un país democrático.....</t>
  </si>
  <si>
    <t>El Palo</t>
  </si>
  <si>
    <t>Pablo Casado da el visto bueno a que Moreno Bonilla gobierne con el apoyo de Vox</t>
  </si>
  <si>
    <t>https://buff.ly/2AH2c7R</t>
  </si>
  <si>
    <t>Ernesto Castro</t>
  </si>
  <si>
    <t>Aunque el PP gobierne, Pablo Casado seguirá siendo un MAMARRACHO #EleccionesAndalucía</t>
  </si>
  <si>
    <t>la Revolución Cubana es un ejemplo de querer es poder: algo que incomoda a los que la injurian constantemente. Infórmate en Cubainformacion y en Cubadebate</t>
  </si>
  <si>
    <t>Errati Morenocillista</t>
  </si>
  <si>
    <t>Por cierto, Pablo Casado presidente, no sé si os lo había comentado ya. #Andalucia</t>
  </si>
  <si>
    <t>Entre Madrid e Artabria</t>
  </si>
  <si>
    <t>Antiguo cibersorayo, esclavo de la moderación y localizador de #Pedrettes, como @la_egeria. Pablo Iglesias era el contacto de Herrira en Madrid.</t>
  </si>
  <si>
    <t>Qmunty</t>
  </si>
  <si>
    <t>Pablo Casado prepara una limpia en el PP aprovechando las derrotas de las autonómicas</t>
  </si>
  <si>
    <t>http://j.mp/2U85oCG</t>
  </si>
  <si>
    <t>Zürich</t>
  </si>
  <si>
    <t>Eram quod es, eris quod sum</t>
  </si>
  <si>
    <t>http://net.quantitas.com/help/contact</t>
  </si>
  <si>
    <t>unmundolibre</t>
  </si>
  <si>
    <t>Pablo Casado comparecerá en la Plaza de Oriente para comentar los resultados de las #EleccionesAndalucía.</t>
  </si>
  <si>
    <t>Desde el vertedero</t>
  </si>
  <si>
    <t>Donde tú ves fotos, yo veo memes… y soy un poco 'cabronsete'. Gabriel Rufián me robó un meme…</t>
  </si>
  <si>
    <t>Daniel Cardillo</t>
  </si>
  <si>
    <t>Akerman nos mete goles desde la época de Pablo casado para camba y el turco pontelli para Telmo.</t>
  </si>
  <si>
    <t>Temperley</t>
  </si>
  <si>
    <t>fullmetal soul</t>
  </si>
  <si>
    <t>Pablo Casado intentando ser Presidente RT @rtsimpsons: "Ya pueden ver lo contento que está."</t>
  </si>
  <si>
    <t>https://twitter.com/rtsimpsons/status/1069339684441153536</t>
  </si>
  <si>
    <t>pic.twitter.com/TFeKqPeeKz</t>
  </si>
  <si>
    <t xml:space="preserve">Pueblo Paleta </t>
  </si>
  <si>
    <t>instagram: http://instagram.com/javi_garcia_ar…</t>
  </si>
  <si>
    <t>Wonder Boy</t>
  </si>
  <si>
    <t>Pablo Casado diciendo que lo de que gobierne la lista más votada era para las siguientes elecciones #AndalucíaL6</t>
  </si>
  <si>
    <t>Wonder Boy, que más valga</t>
  </si>
  <si>
    <t>Carlos Bartual</t>
  </si>
  <si>
    <t>Pablo Casado puede ser víctima de su discurso 'golpista' contra Sánchez si acepta el apoyo de la extrema derecha y el centro liberal para 'echar' a Susana Díaz.</t>
  </si>
  <si>
    <t>San Vicente del Raspeig</t>
  </si>
  <si>
    <t>📝⚖️ Periodista en #Alicante. Pasé por @radioalicante 📻 y ahora opino del @cfhercules en @alicanteplaza y en @esportalacanti</t>
  </si>
  <si>
    <t>https://elperiodismomoderno.wordpress.com/</t>
  </si>
  <si>
    <t>Dani Sanzo</t>
  </si>
  <si>
    <t>Pero tranquilos, no habrá cambio, Pablo Casado es enemigo acérrimo de los pactos de perdedores, no? #AndaluciaL6</t>
  </si>
  <si>
    <t>Informático pero Formador, Formador pero Informático. Un poco de muchas cosas y un mucho de muy pocas</t>
  </si>
  <si>
    <t>Ojo, la papeleta no la tiene Susana Díaz por haber perdido la mayoría del Parlamento andaluz, si no Pablo Casado. ¿Accederá el líder del PP a gobernar en coalición con Ciudadanos y con VOX?</t>
  </si>
  <si>
    <t>Pablo Casado se pasó meses pidiendo que gobernara la lista más votada. En Andalucía ha sido el PSOE pero sorprendentemente no pedirán que gobierne RT @Mhemeroteca: Cuando el PP pedía que se respetara "la lista más votada para formar gobierno" ¿y ahora? #AndaluciaL6 #EleccionesAndalucia #Elecciones2D</t>
  </si>
  <si>
    <t>¿Os acordáis de eso que suele decir el PP de Pablo Casado , “el pacto de perdedores” ? ¿Ahora qué dirán tras los pactos en Andalucía ? #AndaluciaLibre #AndalucíaL6 #Elecciones2D #AndalucíaDecide</t>
  </si>
  <si>
    <t>Esque fijate lo que te digo, acepto y respeto que votéis al PP, a Ciudadanos ya menos y bueno al PP con Pablo Casado también me da asco, pero bueno, acepto que tengas una ideología de derechas, pero tío, votar a putos fascistas, en 2019 después de una dictadura y una guerra civil</t>
  </si>
  <si>
    <t>Ingenieria Biomedica UMA 🍒🎾</t>
  </si>
  <si>
    <t>http://Instagram.com/antoniogm_09/</t>
  </si>
  <si>
    <t>Pablo Casado comparecerá en Génova13</t>
  </si>
  <si>
    <t>Álvaro</t>
  </si>
  <si>
    <t>Pues nada, vamos a ir acostumbrándonos al panorama. ¡Viva el amado líder! ¡Viva Pablo Casado! ¡Viva el rey! #VivaElRey</t>
  </si>
  <si>
    <t>Posadas, Córdoba, España</t>
  </si>
  <si>
    <t>Atónico. Papi de Paula. Cordobés de Posadas/Maleno de Córdoba. Peña Cordobesista Parque Cruz Conde. A este paso forever alone.</t>
  </si>
  <si>
    <t>A. Navarro</t>
  </si>
  <si>
    <t>Pablo Casado demostrando que McDonalds se mea en el pescaito frito.</t>
  </si>
  <si>
    <t>Madrid│Teruel</t>
  </si>
  <si>
    <t>Discípulo de Dennis Rodman pero con técnica Jugoplastika | Abogado│Alumni de @derecho_unav y de @IElaw (LL.M.) | John Ford│Capote - Salinger - Hornby - Bayly</t>
  </si>
  <si>
    <t>#AndaluciaL6 Pablo Casado hace unos meses... A Susana Díaz se le ha acabado la tontería de hablar de los andaluces como si fueran suyos. Ciudadanos le quita votos al PP/PSOE. Es lo que tiene decir A y B a la vez. Podemos con tanto cambio de nombre no avanzará, está en su techo.</t>
  </si>
  <si>
    <t>https://pbs.twimg.com/media/DtcWExfXgAMfVXC.jpg</t>
  </si>
  <si>
    <t>Mighel Pasteur 🇦🇶</t>
  </si>
  <si>
    <t>Pablo Casado (PP): debe gobernar la lista más votada. . . #EleccionesAndalucía #EleccionesAndaluzas #2d #AndaluciaL6</t>
  </si>
  <si>
    <t>Segovia - Madrid</t>
  </si>
  <si>
    <t>Nada me es ajeno. No tengo carnés.</t>
  </si>
  <si>
    <t>Marcos R P</t>
  </si>
  <si>
    <t>Di #Trampito que morde a língua para non disgustar á súa avoa. Logo o que ía a dicir do seu propio, difunto, sufridor, e digno avó, tiña que ser, forzosamente, altamente sectario, miserábel, guerracivilista, felón, antinatural e despreciábel:  #PP</t>
  </si>
  <si>
    <t>https://www.elplural.com/politica/abuelo-pablo-casado-republicano-encarcelado-franco_200492102</t>
  </si>
  <si>
    <t>Incapaz de autoetiquetarme</t>
  </si>
  <si>
    <t>#AndalucíaL6 Jose María Aznar les lavó la cara. Su títere Pablo Casado lo siguió y Albert Rivera no quiso decir que eran extrema derecha, ahora viene la gran unión. Es hora de hablar como habla la gente del Pueblo, basta ya de lo politicamente correcto @ahorapodemos</t>
  </si>
  <si>
    <t>Maite</t>
  </si>
  <si>
    <t>El PP y Ciudadanos ya solo hablan de represión. De recentralizar, de aplicar el artículo 155 en la Catalunya de sus obsesiones para cortar y reprimir. De endurecer leyes. Hasta la ley del menor en concreto Pablo Casado, no tiene la educación entre sus usos y costumbres</t>
  </si>
  <si>
    <t>http://www.rtve.es/m/alacarta/videos/especiales-informativos/pp-cs-unidos-podemos-debaten-sobre-quien-debe-gobernar-lista-mas-votada-quien-mas-apoyos-parlamentarios-tenga/3640291/?media=tve</t>
  </si>
  <si>
    <t>#AndaluciaL6 Pablo Casado y Albert Rivera diciendo que debe gobernar la lista mas votada</t>
  </si>
  <si>
    <t>Burgos, Bilbao, Madrid....</t>
  </si>
  <si>
    <t>Teoría de los Sentimientos Morales</t>
  </si>
  <si>
    <t>http://esquivandofronteras.blogspot.com</t>
  </si>
  <si>
    <t>Pipe Suarez</t>
  </si>
  <si>
    <t>Que razón llevas @AnabelAlonso_of también los q insultaban el otro día a Arrimadas y llevan haciéndolo desde hace muuucho tiempo. Q se te había pasado. La q llamaba “mamarracho” a Pablo Casado el otro día en mitin. Veremos respetos a partir de ahora... RT @AnabelAlonso_of: Los partidos que no respetan la democracia, deberían ser expulsados de ella.</t>
  </si>
  <si>
    <t>https://twitter.com/AnabelAlonso_of/status/1069248188157231104
https://twitter.com/CervantesFAQs/status/1069188280011378689</t>
  </si>
  <si>
    <t>Spain, C.V.</t>
  </si>
  <si>
    <t>La vida es como una caja de bombones, nunca sabes lo que te vas a encontrar.</t>
  </si>
  <si>
    <t>ÚLTIMA HORA: Pablo Casado apoyará un gobierno de Susana Díaz para evitar que gobierne un pacto entre perdedores.</t>
  </si>
  <si>
    <t>elena garcia</t>
  </si>
  <si>
    <t>A mi me da más miedo el giro extremista que va hacer el señor Pablo Casado para sobrevivir más que Vox en sí</t>
  </si>
  <si>
    <t>Music. Food. Travel. 📽️ Repeat.</t>
  </si>
  <si>
    <t>Jon</t>
  </si>
  <si>
    <t>Imagino que Pablo Casado será coherente con sus palabras y en vez de pactos de perdedores dejará gobernar al más votado.ah,no,que como ahora les favorece a ellos donde dije digo... #AndalucíaL6</t>
  </si>
  <si>
    <t>invernalia</t>
  </si>
  <si>
    <t>Me gusta tomarme la vida con humor. detesto la censura. no dejes que nadie piense por ti y no creas todo lo que lees en Twitter.</t>
  </si>
  <si>
    <t>Vidal 🐙</t>
  </si>
  <si>
    <t>El Pablo Casado del pasado dice que hay que dejar gobernar al PSOE y no hacer pacto de perdedores. RT @pablocasado_: Ahora algunos plantean reformar la ley electoral pero rechazaron nuestra propuesta para que gobierne el partido más votado que es lo que quiere la mayoria de españoles ¿Apoyarán esta medida o seguirán formando gobiernos de perdedores? Mi entrevista en @20m</t>
  </si>
  <si>
    <t>Made in 1985. Galego do demo. I ♥ #HeavyMetal #Rock #Celta #EstrellaGalicia. #FinDeLaCita //</t>
  </si>
  <si>
    <t>Ivanjode</t>
  </si>
  <si>
    <t>Pablo Casado está tan en contra de un pacto de perdedores que es presidente del PP por un pacto de perdedores y van a gobernar Andalucía por un pacto de perdedores. #AndaluciaL6</t>
  </si>
  <si>
    <t>Camelot</t>
  </si>
  <si>
    <t>Para tweet fijado el que tengo aquí colgado. Soy responsable de lo que digo pero no de lo que entiendas.</t>
  </si>
  <si>
    <t>Denis</t>
  </si>
  <si>
    <t>Monumental zasca de Pablo Echenique a Pablo Casado --</t>
  </si>
  <si>
    <t>https://www.ecorepublicano.es/2018/12/monumental-zasca-de-pablo-echenique.html</t>
  </si>
  <si>
    <t>MERAKI 🍍</t>
  </si>
  <si>
    <t>yo como mujer tengo PÁNICO a que Vox gane apoyo y a que Pablo Casado siga al frente del PP... SI LO DIGO #EleccionesAndalucia</t>
  </si>
  <si>
    <t>world</t>
  </si>
  <si>
    <t>Tu aquí de visita por este perfil y yo con estos pelos. Comento todos los realities, salseos, bucles y shippeos. Si no gusta, out⛔</t>
  </si>
  <si>
    <t>Julio D.</t>
  </si>
  <si>
    <t>A esta hora, con el 90% de votos escrutados en Andalucia-España, el Psoe de Pedro Sanchez y Podemos de Pablo Iglesias pierden la mayoría absoluta ante el PP de Pablo Casado, Ciudadanos de Rivera y la irrupción de Vox de extrema derecha.</t>
  </si>
  <si>
    <t>Táchira, Venezuela</t>
  </si>
  <si>
    <t>ESTAMOS EN LA LUCHA POR CONSTRUIR UN PAÍS MEJOR, DONDE TODOS PODAMOS SACAR A NUESTRA HERMOSA VENEZUELA ADELANTE. ME GUSTA LA DEMOCRACIA.</t>
  </si>
  <si>
    <t>Lover Hater</t>
  </si>
  <si>
    <t>Estupenda campaña electoral de Pablo Casado... para VOX</t>
  </si>
  <si>
    <t>Nací, intento follar todo lo que puedo y moriré, pero no hoy. Just for fun</t>
  </si>
  <si>
    <t>Euforia en el equipo de Pablo Casado porque el PP puede liderar el cambio en Andalucía tras 36 años</t>
  </si>
  <si>
    <t>Totalmente de acuerdo con Pablo Casado RT @pablocasado_: @manuelrico claro que si, porque en Avila también hay casos. Y creo que no es justo que gobiernen los perdedores ni en un solo pueblo</t>
  </si>
  <si>
    <t>https://twitter.com/pablocasado_/status/503106527314849793</t>
  </si>
  <si>
    <t>Jояdї єl тaяяо ☣️</t>
  </si>
  <si>
    <t>Por cierto, si Pablo casado ya estaba girando cada vez más hacia la derecha, que sepáis que a partir de hoy le va dar 7 vueltas más al volante para girar AÚN MÁS a la derecha.</t>
  </si>
  <si>
    <t xml:space="preserve">detrás de ti. </t>
  </si>
  <si>
    <t>Yo solo hago caso a las voces de mi cabeza. Buena persona de lunes a viernes. Rojazo y friki a tiempo completo.</t>
  </si>
  <si>
    <t>http://instagram.com/billpuerta</t>
  </si>
  <si>
    <t>Joaquín Manso</t>
  </si>
  <si>
    <t>La participación y el discurso de Pablo Casado sostienen al PP en Andalucía. Hoy consolida su liderazgo #EleccionesAndalucía</t>
  </si>
  <si>
    <t>Periodista. Director adjunto de EL MUNDO.</t>
  </si>
  <si>
    <t>Mrs. Scott</t>
  </si>
  <si>
    <t>Lo que peor llevo es que Pablo Casado se lo va a creer y todo. 🤢🤢🤢 #EleccionesAndalucia</t>
  </si>
  <si>
    <t xml:space="preserve">Córdoba, Spain </t>
  </si>
  <si>
    <t>Addicted to TV Shows, Movies and Sports, especially basket &amp; football.</t>
  </si>
  <si>
    <t>Maite Goñi Eizmendi</t>
  </si>
  <si>
    <t>#AndaluciaL6 Pablo Casado: "(Lo) que pedimos desde ya es que se respete a la lista más votada para formar gobierno." Gauza bera esango du gaur? RT @Mhemeroteca: Cuando el PP pedía que se respetara "la lista más votada para formar gobierno" ¿y ahora? #AndaluciaL6 #EleccionesAndalucia #Elecciones2D</t>
  </si>
  <si>
    <t>Ordizia, Euskal Herria, mundua</t>
  </si>
  <si>
    <t>Education, hezkuntza, web 2.0, PLE/PLN, edtech, educational technology, ICT/IKT, social networking, eLearning, euskara, datuak askatu, open culture, Basque...</t>
  </si>
  <si>
    <t>http://maitego.com</t>
  </si>
  <si>
    <t>Pablo Carrilho Reyes</t>
  </si>
  <si>
    <t>Derrumbe electoral del PSOE en Andalucía, por fin hay una posibilidad real de cambio. Enhorabuena al PP y a los andaluces que han posibilitado este cambio. Enhorabuena a @JuanmaMoreno y a Pablo Casado Carnerero</t>
  </si>
  <si>
    <t>Meme Case</t>
  </si>
  <si>
    <t>Pablo Casado ya ha hablado con Juan Manuel Moreno y le ha pedido que lidere “el cambio histórico en Andalucía”</t>
  </si>
  <si>
    <t>Papu me vale verga</t>
  </si>
  <si>
    <t>No sabía que el segundo nombre de Pablo Casado era Fra</t>
  </si>
  <si>
    <t>Deepweb</t>
  </si>
  <si>
    <t>¡Que picardía!</t>
  </si>
  <si>
    <t>http://taringa.com</t>
  </si>
  <si>
    <t>Mañana Pablo Casado va a decir que en Andalucía debe gobernar la lista más votada.</t>
  </si>
  <si>
    <t>Andalucía se prepara para el auténtico "gobierno Frankenstein"...enhorabuena Pablo Casado y Albert Rivera, lo habéis conseguido.</t>
  </si>
  <si>
    <t>lucas</t>
  </si>
  <si>
    <t>Los q se han implicado en Andalucia Casado y Rivera ganan, Sánchez y Pablo que casi ni han ido se han caído...</t>
  </si>
  <si>
    <t>minarquista en un mundo complicado, por cierto economista...</t>
  </si>
  <si>
    <t>Natalia Junquera</t>
  </si>
  <si>
    <t>Pablo Casado traslada a Juan Manuel Moreno "la necesidad de liderar el cambio histórico en Andalucía". Euforia absoluta en el PP</t>
  </si>
  <si>
    <t>https://elpais.com/politica/2018/12/02/actualidad/1543707833_790859.html</t>
  </si>
  <si>
    <t>periodista del diario EL PAÍS. También escribo en Jotdown. Made in Galicia BLOG: https://nataliajunquerablog.wordpress.com</t>
  </si>
  <si>
    <t>http://elpais.com/autor/natalia_junquera/a/</t>
  </si>
  <si>
    <t>MÁR</t>
  </si>
  <si>
    <t>El PP ha mantenido el embate brutal de C's y Vox gracias a que Pablo Casado se la ha jugado en Andalucía. Luego, se olvidará: pero el PP es segundo porque Casado supo ser líder, a pesar de tanta crítica de que anduviera por ahí.</t>
  </si>
  <si>
    <t>Me entristece el cada vez más bajo nivel de la vida pública española.</t>
  </si>
  <si>
    <t>📚Mentat Requemá 📝</t>
  </si>
  <si>
    <t>🤔 pos no sé *revisa los discursos de Pablo Casado* 🤔 😀☝️‼️ RT @Guerraeterna: Huelga de cerebros en la dirección del PP. ¿Qué necesidad tienen de pedir la mano tan rápido a Vox cuando el escrutinio puede cambiar los datos del sondeo lo suficiente para que la suma PP-Cs-Vox no dé mayoría?</t>
  </si>
  <si>
    <t>https://twitter.com/Guerraeterna/status/1069317728371118088
https://www.eldiario.es/andalucia/MINUTO-Elecciones-andaluzas_13_841795814_22283.html</t>
  </si>
  <si>
    <t>Gilead, año III</t>
  </si>
  <si>
    <t>SuperChalk DJ🔸Conseguí mi trabajo memorizando cosas🔸Give me ventiladores or give me death🔸Cuenta no patrocinada por Casa Harkonnen 🔸</t>
  </si>
  <si>
    <t>Szyslak</t>
  </si>
  <si>
    <t>Pablo Casado va a gobernar en Andalucía.</t>
  </si>
  <si>
    <t>Carmeningrado.</t>
  </si>
  <si>
    <t>Pablo Casado exige que en Andalucía gobierne la lista más votada. #EleccionesAndalucía</t>
  </si>
  <si>
    <t>Yole</t>
  </si>
  <si>
    <t>A esta hora, con el 99% de votos escrutados en Andalucia-España, el Psoe de Pedro Sanchez y Podemos de Pablo Iglesias pierden la mayoría absoluta ante el PP de Pablo Casado, Ciudadanos de Rivera y la irrupción de Vox de extrema derecha. DESPUÉS DE 36 AÑOS EL PSOE PIERDE ANDALUCÍA</t>
  </si>
  <si>
    <t>Mi compromiso es la verdad. Busco información veraz y útil para trasmitir a todo el que me siga. Y sigo aquellos que sueñan con la Libertad y la Democracia.</t>
  </si>
  <si>
    <t>White Trash ☀️</t>
  </si>
  <si>
    <t>Os reís de Andalucía pero que en dos telediarios Pablo Casado va a gobernar el país entero. Eso sí que da miedo.</t>
  </si>
  <si>
    <t>Gallifrey</t>
  </si>
  <si>
    <t>Él es inclusiva y tú eres feminazi 🌗 rechista radikal</t>
  </si>
  <si>
    <t>Veamos: - A Casado le acaba de nacer un problema de narices. - Pedro Sánchez no va a convocar elecciones anticipadas ja le maten. - Pablo Iglesias tiene una excusa de oro para poner orden en sus periferias antes de que le lleven de vuelta a los números de Gaspar Llamazares.</t>
  </si>
  <si>
    <t>Abogado. Atlético. Wargamer. Rolero. Lector. Guerrero del Twitter. http://Gab.ai: @fray_fanatic Stans Inter Ruinas.</t>
  </si>
  <si>
    <t>Santi Abascal de VOX, entrara en la Junta de Andalucía a caballo, como buen señorito andaluz y de la mano de Pablo Casado y Albert Rivera.</t>
  </si>
  <si>
    <t>Jorge López</t>
  </si>
  <si>
    <t>Pablo Casado, de líder de poco recorrido al primer presidente popular con posibilidades reales (y muy probables) de echar al PSOE de la Junta de Andalucía. Haciéndolo además con uno de sus peores resultados</t>
  </si>
  <si>
    <t>Madrid/Tomelloso</t>
  </si>
  <si>
    <t>Periodista. Aquí opiniones personales.</t>
  </si>
  <si>
    <t>https://about.me/lopezparrajorge</t>
  </si>
  <si>
    <t>La Voz de Cádiz</t>
  </si>
  <si>
    <t>La dirección nacional del PP señala que el «objetivo es cambiar el Gobierno» de la Junta  #EleccionesAndaluzasLAVOZ</t>
  </si>
  <si>
    <t>http://ow.ly/GCrX30mPOtX</t>
  </si>
  <si>
    <t>Todas las #noticias y #ÚltimaHora de #Cádiz y #ProvCádiz.Conéctate con nosotros también en Facebook: http://facebook.com/lavozdecadiz</t>
  </si>
  <si>
    <t>https://www.lavozdigital.es/</t>
  </si>
  <si>
    <t>Verde 🌳🌲🍀</t>
  </si>
  <si>
    <t>De todas maneras Pablo Casado apoyará a Susana Díaz que es la lista más votada. Y Pablo es un hombre de palabra. Yo creo en la democracia y en la suma de escaños pero qué sabré yo.</t>
  </si>
  <si>
    <t>Me pide me perdona.</t>
  </si>
  <si>
    <t>Recordatorio: me representa lo que escribo, no lo que retuiteo. Prefería 'favorito' al actual 'me gusta'. Soy buenista (a mucha honra).</t>
  </si>
  <si>
    <t>A Pablo Casado le toca explicar que va a gobernar Andalucía con un PACTO DE PERDEDORES. #PPCsVox #LaPvtaEspaña 🇪🇸 #AndalucíaL6</t>
  </si>
  <si>
    <t>Carlos Bort Misol</t>
  </si>
  <si>
    <t>Mi enhorabuena para los jefes de campaña de VOX: Pablo Iglesias, Pedro Sánchez, Pablo Casado...</t>
  </si>
  <si>
    <t>Sorry not to match all of your fantasies. Yours truly, Reality. / Siento no estar a la altura de todas tus fantasías. Tuya, La Realidad.</t>
  </si>
  <si>
    <t>Love Will Tear Abascal Again</t>
  </si>
  <si>
    <t>Os habéis dado cuenta ya de que Andalucía va a ser gobernada por Pablo Casado, ¿no?</t>
  </si>
  <si>
    <t>La auténtica política pop.</t>
  </si>
  <si>
    <t>Moncloa.com</t>
  </si>
  <si>
    <t>22:14 Silencio en la sede del PSOE en Sevilla, euforia en VOX, cierta decepción en Adelante Andalucía y primer gran éxito electoral para Pablo Casado.</t>
  </si>
  <si>
    <t>https://bit.ly/2Pg4Cj2</t>
  </si>
  <si>
    <t>Política, poder, pasión. La cuenta atrás ha empezado.</t>
  </si>
  <si>
    <t>https://www.moncloa.com/</t>
  </si>
  <si>
    <t>Dan Solo</t>
  </si>
  <si>
    <t>Cuando VOX asciende Alberto Garzón hace encuestas de monarquia/república en la uni, Iglesias se toma un vino en su corte, Pablo Casado hace el cafre y el gobierno se revolentre casos y casos corruptos. Pues como no van a ganar votos, cazurros</t>
  </si>
  <si>
    <t>No olvides que hoy Lúculo, cena en casa de Lúculo.</t>
  </si>
  <si>
    <t>Alfonso Poza</t>
  </si>
  <si>
    <t>1. Derrota histórica del PSOE en Andalucía. 2. Pablo Casado salva la cara en Andalucía. 3. Ciudadanos dobla su representación. 4. Teresa Rodríguez fracasa. 5. Vox entra con fuerza.</t>
  </si>
  <si>
    <t>https://pbs.twimg.com/media/DtcPBWpWkAE56mf.jpg</t>
  </si>
  <si>
    <t>Licenciado en Historia. Historiador. Profesor de enseñanza secundaria. Secondary education teacher. Autor de "Terror marca ISIS".</t>
  </si>
  <si>
    <t>https://www.casadellibro.com/ebook-terror-marca-isis-ebook/9788483267790/6670969</t>
  </si>
  <si>
    <t>Mario Díaz</t>
  </si>
  <si>
    <t>Es increíble que haya gente en Andalucía que piense que Pablo Casado no es suficientemente facha como para votar a VOX #EleccionesAndalucia</t>
  </si>
  <si>
    <t>Periodista y superhéroe. Yo y solo yo soy responsable de mis opiniones. Marketing Digital en http://atresmedia.com</t>
  </si>
  <si>
    <t>JC Cristóbal</t>
  </si>
  <si>
    <t>La hemeroteca de Pablo Casado va a echar humo.</t>
  </si>
  <si>
    <t>Ahora me levanto. Déjame un minuto más</t>
  </si>
  <si>
    <t>Enhorabuena a Pablo Casado por la excelente campaña que le ha hecho a Vox</t>
  </si>
  <si>
    <t>Víctor Moscoso</t>
  </si>
  <si>
    <t>Qué dirá ahora Pablo Casado sobre lis pactos de perdedores? Querrá que gobierne las lista más votada?</t>
  </si>
  <si>
    <t>A Coruña - Galicia - España</t>
  </si>
  <si>
    <t>Deportivista y Ajacied. Si algo te tira, te levantás.</t>
  </si>
  <si>
    <t>☭Rojomierda🔻</t>
  </si>
  <si>
    <t>Pablo Casado ya debe estar pidiendo que gobierne la lista más votada y hablando de pacto de perdedores</t>
  </si>
  <si>
    <t>Ленинградский район, Россия</t>
  </si>
  <si>
    <t>Mi manera de hacer bromas es decir la verdad, es el chiste más gracioso del mundo.' Muhammad Alí</t>
  </si>
  <si>
    <t>hector alonso</t>
  </si>
  <si>
    <t>Enhorabuena a Pablo Casado por los resultados de Vox #EleccionesAndalucía #AndaluciaL6</t>
  </si>
  <si>
    <t>Estudié CCPP. Aprendí periodismo con Leguineche. Exjefe de prensa de Médicos del Mundo y exDirCom de la Agencia de Seguridad Alimentaria. Colaboro en Público.</t>
  </si>
  <si>
    <t>http://www.actualidadhumanitaria.com</t>
  </si>
  <si>
    <t>Brais Rodríguez</t>
  </si>
  <si>
    <t>Ahora es cuando sale Pablo Casado y dice aquello de "NO A LOS PACTOS DE PERDEDORES EN LOS DESPACHOS, DEBE GOBERNAR LA LISTA MÁS VOTADA". #EleccionesAndalucía</t>
  </si>
  <si>
    <t>Europa 🇪🇺🇪🇺🇪🇺</t>
  </si>
  <si>
    <t>Socialista🌹, Republicano e #Iberista 🇪🇸🇵🇹🇦🇩.</t>
  </si>
  <si>
    <t>Sr.Jimvill</t>
  </si>
  <si>
    <t>El CM de Pablo Casado borrando todos los tweets que contenga "pacto de perdedores"</t>
  </si>
  <si>
    <t>Republic of Palau</t>
  </si>
  <si>
    <t>Seremos conocidos por nuestra crueldad.</t>
  </si>
  <si>
    <t>Tenemos: A Pablo Casado haciendo un pacto, de nuevo, entre perdedores para llegar al poder. A Ciudadanos gobernando en la Junta con la extrema derecha. «Pero por qué nos llaman fachas» #EleccionesAndalucía</t>
  </si>
  <si>
    <t>jose gilgado</t>
  </si>
  <si>
    <t>El primer combate entre Pablo Casado y Pedro Sánchez da mucho aire al líder del PP y deja al socialista al borde del K.O.</t>
  </si>
  <si>
    <t>Periodista, maratoniano y padre. Muy orgulloso de ser las tres cosas.</t>
  </si>
  <si>
    <t>Rubén Regalado</t>
  </si>
  <si>
    <t>Es un buen momento para recordar que Juanma Moreno NO es un hombre de Pablo Casado.</t>
  </si>
  <si>
    <t>Periodista. Editor de @laSextaColumna. Colaboro en @eldiarioes. Antes @la_ser y @SextaNoticias. Periodismo salvaje.</t>
  </si>
  <si>
    <t>https://medium.com/@mrgifted</t>
  </si>
  <si>
    <t>#EleccionesAndalucia Ahora es cuando sale Pablo Casado diciendo que tiene que gobernar la lista más votada...</t>
  </si>
  <si>
    <t>Jesus Rick Martinez</t>
  </si>
  <si>
    <t>Mañana veo a Pablo Casado proponer quitar la despenalizaciones del Aborto en todos los supuestos, ilegalización del divorcio y la vuelta del Servicio militar obligatorio de 24 meses. Tambien lo veo con la obligación de ir a misa todos los domingos</t>
  </si>
  <si>
    <t>Elciego, Alava España</t>
  </si>
  <si>
    <t>Astrofuturo es un timo. Y son unos ladrones.</t>
  </si>
  <si>
    <t>ronnie war, phoenix🍍👁💛</t>
  </si>
  <si>
    <t>Decidme que no soy la única a la que cada plano de la cara de Pablo Casado riendose le pone de mala hostia.</t>
  </si>
  <si>
    <t>Old Mystic, CT</t>
  </si>
  <si>
    <t>"If we’re destined to meet each other in another life, just know i’ll be waiting for another dance." — mamá, adoro a michelle jenner. | PL1623. | rayden+avril.</t>
  </si>
  <si>
    <t>https://kathwardolf.tumblr.com/</t>
  </si>
  <si>
    <t>AngeVidal</t>
  </si>
  <si>
    <t>http://bit.ly/2zFWUKb</t>
  </si>
  <si>
    <t>Me gustan los idiomas y los libros. Confío en la educación y el diálogo para acercar mundos. Los límites de mi lenguaje son los límites de mi mundo. W.</t>
  </si>
  <si>
    <t>Júlia JG</t>
  </si>
  <si>
    <t>“Pablo Casado ha hecho una campaña espléndida”, dice el PP en La Sexta. Ah, que el candidato era él. #AndalucíaL6</t>
  </si>
  <si>
    <t>Barcelona, 1993. | Traductora e intérprete. Hablo 7 idiomas. Doble máster en comunicación política. Ahora, up in the air en @IATA. | «Fire walk with me.»</t>
  </si>
  <si>
    <t>Pepe</t>
  </si>
  <si>
    <t>Ahora los del PP: Pablo Casado ha hecho una campaña espléndida. Y Juanma Moreno pa cuándo?</t>
  </si>
  <si>
    <t>SinMarcasDeAgua</t>
  </si>
  <si>
    <t>Interpreto SAP para Coca Cola European Partners y en mis ratos libres, interpreto la luz.</t>
  </si>
  <si>
    <t>http://www.pepefotografia.es</t>
  </si>
  <si>
    <t>#EleccionesAndalucia El partido de Pablo Casado asume que la formación de Abascal ha llegado "para quedarse"</t>
  </si>
  <si>
    <t>https://www.lne.es/espana/2018/12/02/pp-pedira-apoyo-vox-suman/2390338.html</t>
  </si>
  <si>
    <t>Crónicas Satíricas</t>
  </si>
  <si>
    <t>Tirulares #AndaluciaL6: Pablo Casado dice que harán en Andalucía lo que hicieron en España. Que peligro lleva esta frase, miren la lista del enlace:</t>
  </si>
  <si>
    <t>https://bit.ly/2JsrmL5</t>
  </si>
  <si>
    <t>https://pbs.twimg.com/media/DtcHFxhXoAAu5l7.jpg</t>
  </si>
  <si>
    <t>El humor es la sal de la vida y la satírica es su pimienta.</t>
  </si>
  <si>
    <t>http://cronicassatiricas.com/</t>
  </si>
  <si>
    <t>Os #xuices #españois cambian de facto a lei penal para favorecerse entre eles:</t>
  </si>
  <si>
    <t>http://diario16.com/soborno-detras-del-archivo-del-caso-pablo-casado/</t>
  </si>
  <si>
    <t>Este quiere liderar y representar a “la #España que #madruga “:  #Trampito #Casado</t>
  </si>
  <si>
    <t>https://www.eldiario.es/carnecruda/lo-llevamos-crudo/vida-regalada-Pablo-Casado_6_817928232.html</t>
  </si>
  <si>
    <t>NoNO™</t>
  </si>
  <si>
    <t>Ferreras entrevistando a los protagonistas de #EleccionesAndalucia Inés Arrimadas, Pablo Casado, Albert Rivera y esas cosas #AndalucíaL6</t>
  </si>
  <si>
    <t>Al sur del sur</t>
  </si>
  <si>
    <t>La casa es del gato, yo solo pago la hipoteca #WriteInC</t>
  </si>
  <si>
    <t>http://nyan.cat/pirate</t>
  </si>
  <si>
    <t>KaRmEnKARMELA</t>
  </si>
  <si>
    <t>Una mujer libre es justo lo contrario de una mujer fácil. S.de B</t>
  </si>
  <si>
    <t>https://www.facebook.com/BUZZKARMELA</t>
  </si>
  <si>
    <t>María🎄| FAMOUS GANADOR.</t>
  </si>
  <si>
    <t>Teresa diciéndole a Pablo Casado mamarracho cada dos segundos es lo mejor que os va a pasar en la vida.</t>
  </si>
  <si>
    <t>ɪᴛxɪ ﹠ ᴇsᴛʜᴇʀ | ᴘᴀᴜʟ ᴡᴇsʟᴇʏ's ᴡɪғᴇ.</t>
  </si>
  <si>
    <t>» ɴɪɴᴇᴛᴇᴇɴ . -` ◜𝙬𝙧𝙞𝙩𝙚𝙧 » 𝙛𝙪𝙩𝙪𝙧𝙚 𝙨𝙤𝙘𝙞𝙖𝙡 𝙬𝙤𝙧𝙠𝙚𝙧 ◞ ´- ❛ — I'm the most ｐｏｗｅｒｆｕｌ of all (𝙬̶𝙞̶𝙩̶𝙘̶𝙝̶𝙚̶𝙨) 𝙗𝙞𝙩𝙘𝙝𝙚𝙨. ❜ ⋮ ╰ʀᴏʟᴇᴘʟᴀʏᴇʀ ▸ ʜᴜғғʟᴇᴘᴜғғ ▸ ɪɴғᴘ-ᴛ ▸ ғᴇᴍɪɴɪsᴛ╮</t>
  </si>
  <si>
    <t>Monumental zasca de Pablo Echenique a Pablo Casado</t>
  </si>
  <si>
    <t>https://pbs.twimg.com/media/DtcEkcSXQAANe4J.jpg</t>
  </si>
  <si>
    <t>Adrián #SaveYourInternet</t>
  </si>
  <si>
    <t>La mía sería Pablo Casado, Dalas y Donald Trump RT @Daviibntz: Pablo Casado, Kid Keo y Alvaro Ojeda puede ser ahora mismo mi top 3 en personas que odio</t>
  </si>
  <si>
    <t>https://twitter.com/Daviibntz/status/1068886313829568514</t>
  </si>
  <si>
    <t>♋Géminis. / 📚Física en la US.📡 / 🎭Me gustan los juegos de rol.🎉 / 🎑Presidiendo Villa Meme.🎎 / 🌝Nombre en la red: TDM999🌚 / ~FC: 3626-2284-6914~</t>
  </si>
  <si>
    <t>http://www.instant-gaming.com/igr/TDM999/</t>
  </si>
  <si>
    <t>ABC de Sevilla</t>
  </si>
  <si>
    <t>Fuentes de la dirección nacional del #PP han señalado que el «objetivo es cambiar el Gobierno» de la Junta de Andalucía  #Vox #ABC2D #EleccionesAndalucía</t>
  </si>
  <si>
    <t>http://ow.ly/k65Y30mPNxf</t>
  </si>
  <si>
    <t>Noticias #Sevillahoy, #Andalucíahoy, #ProvinciaSev ¿Hablamos?. También en Facebook: https://www.facebook.com/abcdesevilla #SSantaSevABC #SSanta18</t>
  </si>
  <si>
    <t>http://www.abcdesevilla.es</t>
  </si>
  <si>
    <t>homopestis</t>
  </si>
  <si>
    <t>Mirad lo que dice el cachondo de Pablo Casado... No sé si reír o follar RT @pablocasado_: España es un Estado de Derecho donde todos somos iguales ante la ley. Los delitos tienen consecuencias y la justicia actúa con independencia y sin presiones. Nuestra integridad territorial y unidad nacional es innegociable.</t>
  </si>
  <si>
    <t>Contra la estupidez, hasta los dioses luchan en vano. Los derechos y libertades o se usan o se pierden #SanidadPublica #leydedependencia #Educacionuniversal</t>
  </si>
  <si>
    <t>Sara // ella by marta&amp;lamari supremacist</t>
  </si>
  <si>
    <t>Teresa Rodriguez llamando mamarracho a Pablo Casado 63846 veces es el mayor mood to ever mood RT @Nicormg: Ole tu coño, Teresa</t>
  </si>
  <si>
    <t>https://twitter.com/Nicormg/status/1069042779563659264</t>
  </si>
  <si>
    <t>pic.twitter.com/AZkYuCZfmG</t>
  </si>
  <si>
    <t>Alexa play las de la intuicion by maria &amp; marilia.</t>
  </si>
  <si>
    <t>Albert Rivera y Pablo Casado' apareció el sábado 1 ocupando el 16º lugar del Top20 en las Tendencias de España:</t>
  </si>
  <si>
    <t>¿Pedro Sánchez está detrás del auge de VOX en los medios de comunicación? #EleccionesAndalucia</t>
  </si>
  <si>
    <t>https://pbs.twimg.com/media/DtcCAABXQAMAlbs.jpg</t>
  </si>
  <si>
    <t>M 🇪🇸</t>
  </si>
  <si>
    <t>Soy de derechas pero odio a Pablo Casado, odio a Vox (no pensaba ni votarlos xd) y no me gusta ciudadanos, a quien cojones voy a votar?</t>
  </si>
  <si>
    <t>Nate's bed</t>
  </si>
  <si>
    <t>In your eyes, there’s a heavy blue, one to love, and one to lose// @supposedlrh // @AlvaroMorata 💜Fan Account💜</t>
  </si>
  <si>
    <t>https://instagram.com/p/Bm_s5qVlj0Z/</t>
  </si>
  <si>
    <t>Jonatan García</t>
  </si>
  <si>
    <t>En un rato veremos los resultados de #EleccionesAndalucía, pero lo que está claro es que pase lo que pase, la derecha ha utilizado el #2D como laboratorio para ser más derecha que nunca. El PP de Pablo Casado debería pensar que España quiere...</t>
  </si>
  <si>
    <t>L'Hospitalet</t>
  </si>
  <si>
    <t>Socialista y republicano. Orgulloso de mi ciudad (#LHospitalet) y también de mi pueblete (Abuime)</t>
  </si>
  <si>
    <t>http://esunnoparar.blogspot.com</t>
  </si>
  <si>
    <t>Anakin Vader🇪🇸🗽</t>
  </si>
  <si>
    <t>En la secta diciendo que aunque el PP gobierne Andalucia es un fracaso para Pablo Casado jajajaja no saben donde meterse. #AndalucíaPorEspaña🇪🇸🇪🇸🇪🇸 #AndaluciaL6</t>
  </si>
  <si>
    <t>Francisco Tijeras</t>
  </si>
  <si>
    <t>El Estado es el chiringuito de los políticos. #LET Hakuna Matata</t>
  </si>
  <si>
    <t>Descúbrelo por ti mism@....</t>
  </si>
  <si>
    <t>jOse García</t>
  </si>
  <si>
    <t>En serio os creéis que gracias a @vox_es, la ULTRA DERECHA hace su aparición en España?. Es que no habéis oído hablar de AZNAR, PABLO CASADO, ROSA DÍEZ, ALBERT RIVERA, LA RAZÓN, JIMÉNEZ LOSANTOS, OK DIARIO, ARCADI ESPADA, FERNÁNDEZ DÍAZ, LLARENA...sorry, me quedo sin caracteres.</t>
  </si>
  <si>
    <t xml:space="preserve">Madriz / Catalunya </t>
  </si>
  <si>
    <t>En eterna discusión conmigo mismo. Preguntar, aprender y defender, el lema de la República de mi vida. Antifascista.</t>
  </si>
  <si>
    <t>Mr Wolf Teacher</t>
  </si>
  <si>
    <t>...ojalá en Andalucia VOX no tenga representación... Ya tenemos a #minitrump con Pablo Casado...¿En serio quieren los andaluces algo así? O sea... Ciudadanos y el PP dicen que el Franquismo mejor no condenarlo... ajá...¿En serio van a votar a VOX? #EleccionesAndalucia</t>
  </si>
  <si>
    <t>https://www.facebook.com/oscar.reciocoll.docente</t>
  </si>
  <si>
    <t>Profesor, Librófago, Teamaniac,diseño aplicaciones didácticas, jueducacion@gmail.com, Boardgamer, Roleplayer. #Jueducación jueducacion@gmail.com</t>
  </si>
  <si>
    <t>http://mrwolfteachingcorner.blogspot.es</t>
  </si>
  <si>
    <t>Vegannibal Lecter</t>
  </si>
  <si>
    <t>Discurso de Pablo Casado: mezcla los artículos 1, 2 y 14 de la Constitución y arreando. Cúrratelo un poco, coño RT @pablocasado_: España es un Estado de Derecho donde todos somos iguales ante la ley. Los delitos tienen consecuencias y la justicia actúa con independencia y sin presiones. Nuestra integridad territorial y unidad nacional es innegociable.</t>
  </si>
  <si>
    <t xml:space="preserve">Melmak </t>
  </si>
  <si>
    <t>Cinéfila, serieadicta, fan del humor negro.Amanecista. Republicana, atea, feminista, propalestina, animalista, muy de Izquierdas. Terca de nacimiento</t>
  </si>
  <si>
    <t>Susana Díaz y Pablo Casado han hecho la campaña a Vox. La una para alentar el voto del miedo y restar votos a sus rivales. El otro por asumir su discurso y dejar claro que pactarían con la ultraderecha para echar a los socialistas. #AndaluciaDecide</t>
  </si>
  <si>
    <t>Arturo Arenas</t>
  </si>
  <si>
    <t>En TVE insisten en que las elecciones andaluzas son un examen a Pablo Casado. Yo pensaba que eran autonómicas...</t>
  </si>
  <si>
    <t>Molvízar (Granada)</t>
  </si>
  <si>
    <t>Pedro Sánchez en Ferraz, Pablo Casado en Génova, Albert Rivera en Sevilla. ¿Y Pablo Iglesias? #EleccionesAndalucia</t>
  </si>
  <si>
    <t>Jorge Martínez</t>
  </si>
  <si>
    <t>La Sexta ya ha dictado sentencia: "Pase lo que pase está noche el gran derrotado es Pablo Casado". Y dicho esto han ido a lamerse las heridas unos a otros.</t>
  </si>
  <si>
    <t>Español nacido en Asturias y desterrado laboralmente como Unamuno a Fuerteventura. Liberal y activista por la cultura del humor</t>
  </si>
  <si>
    <t>Fermín Álvarez</t>
  </si>
  <si>
    <t>Por aquí se vio caer a Pablo Casado pero aún no se ha oído el golpe. ¿Cómo era eso? Ah, si: ¡Joder, qué hostia!</t>
  </si>
  <si>
    <t>https://pbs.twimg.com/media/Dtb20XhXQAQS1NG.jpg</t>
  </si>
  <si>
    <t>Aspirante a escribir y protagonizar mi propia vida, me conformaría con tener una frase. Además, soy Donante de Pelo y zurdo</t>
  </si>
  <si>
    <t>http://untristetigre.blogspot.com</t>
  </si>
  <si>
    <t>Casado afronta con las elecciones andaluzas la primera noche electoral del PP en su era #EleccionesAndalucía</t>
  </si>
  <si>
    <t>https://www.elconfidencial.com/elecciones-andalucia/2018-12-02/pablo-casado-noche-electoral-pp_1681534/?utm_source=twitter&amp;utm_medium=social&amp;utm_campaign=ECDiarioManual</t>
  </si>
  <si>
    <t>carmeng00</t>
  </si>
  <si>
    <t>Esque como se junten Pablo casado, con Albert Rivera y Santi Abascal se va a liar pardisima. Imaginad esta coalición</t>
  </si>
  <si>
    <t>“Hoy vas a ser la mujer, que te de la gana de ser” 💛</t>
  </si>
  <si>
    <t>juan</t>
  </si>
  <si>
    <t>Si esto es así, la culpa de la entrada de VOX tiene nombre y apellidos: pablo casado. Hay que recordar que el fue el quien puso en escena a VOX. RT @electo_mania: GAD3 para #AndaluciaL6: el PSOE se juega la Junta. Vox irrumpe con hasta 10 escaños.</t>
  </si>
  <si>
    <t>https://twitter.com/electo_mania/status/1069306342408708096
http://electomania.es</t>
  </si>
  <si>
    <t>https://pbs.twimg.com/media/DtbwcqyX4AY6aTJ.jpg</t>
  </si>
  <si>
    <t>socialista y a mucha honra✊🏻🌹intento ser objetivo, pero no puedo.</t>
  </si>
  <si>
    <t>carlos compte</t>
  </si>
  <si>
    <t>Para Ferrerone que el Psoe pueda no gobernar en Andalucía es un fracaso de Pablo Casado. El sudoroso vikingo es entrañable...</t>
  </si>
  <si>
    <t>camino del  Metropolitano</t>
  </si>
  <si>
    <t>4 décadas enamorado de Elisabeth Shue, Mia Sara, Molly Ringwald y Zoe Kazan. Cuando sueño no duermo y cuando duermo no sueño. Adicto a los Bull Terrieres.</t>
  </si>
  <si>
    <t>Pablo Casado, que llegó a liderar el PP con un pacto de perdedores y criminalizó a Sánchez por pactar para echar a Rajoy, ¿hará un pacto de «losers» con Cs y VOX? #EleccionesAndalucía</t>
  </si>
  <si>
    <t>https://pbs.twimg.com/media/Dtbx9lhW0AMJPU-.jpg</t>
  </si>
  <si>
    <t>El Salto</t>
  </si>
  <si>
    <t>El ascenso de Ciudadanos y Vox y el cambio de discurso del PP bajo la batuta de Pablo Casado tiene una base electoral: según el EGOPA, en el último año, en Andalucía, han aumentado en casi seis puntos los partidarios de un Estado sin autonomías (28%).  RT @ElSaltoDiario: Cádiz encabeza las tasas de paro de las provincias españoles. Municipios como Sanlúcar de Barrameda, La Línea y Jerez de la Frontera están entre los cinco con más paro de toda España. En estas elecciones, la participación en la provincia ha caído.</t>
  </si>
  <si>
    <t>https://www.elsaltodiario.com/elecciones-autonomicas/directo-elecciones-andalucia-2-diciembre-2018
https://twitter.com/ElSaltoDiario/status/1069304290404171776</t>
  </si>
  <si>
    <t>https://pbs.twimg.com/media/DtbuaK6WoAIcRmi.jpg</t>
  </si>
  <si>
    <t>Barcelona (Spain)</t>
  </si>
  <si>
    <t>Construyendo #UnGranMedio con más de 20 proyectos comunicativos. Estamos en http://elsaltodiario.com y publicamos un mensual con siete ediciones.</t>
  </si>
  <si>
    <t>http://elsaltodiario.com</t>
  </si>
  <si>
    <t>Maipe</t>
  </si>
  <si>
    <t>Pablo Casado: "El PP es el partido de la honestidad"  vía @La_SER. JAJAJAJA. Me parto y me troncho.</t>
  </si>
  <si>
    <t>http://cadenaser.com/ser/2018/11/30/politica/1543613809_281010.html?ssm=tw</t>
  </si>
  <si>
    <t>Podrán cortar todas las flores, pero nunca detendrán la primavera. (Pablo Neruda)</t>
  </si>
  <si>
    <t>A.M.</t>
  </si>
  <si>
    <t>Pérez-Reverte indignado porque Teresa Rodríguez llama "mamarracho" a Pablo Casado. Tiene la piel muy fina el pollavieja y recuerdo que tiene una obra recopilatoria de artículos llamada "Con Ánimo de Ofender" en la que dedica buen catálogo de insultos y descalificaciones.</t>
  </si>
  <si>
    <t>We're not tools of the government or anyone else</t>
  </si>
  <si>
    <t>Aurorita Gato Arce</t>
  </si>
  <si>
    <t>Mi Tele está castigada hasta que diga la verdad</t>
  </si>
  <si>
    <t>https://www.facebook.com/AgorasEnLasPlazasasambleaabierta/</t>
  </si>
  <si>
    <t>juan santiso iglesia</t>
  </si>
  <si>
    <t>fotoperiodista activista 15M</t>
  </si>
  <si>
    <t>http://juansantiso.blogspot.com/</t>
  </si>
  <si>
    <t>Televisera</t>
  </si>
  <si>
    <t>#EleccionesAndalucía Me han chivado que si gana el PP en Andalucia, Pablo Casado va a ir a celebrarlo a un MCDONALD'S.</t>
  </si>
  <si>
    <t>Show. TV.Music.</t>
  </si>
  <si>
    <t>Mari AnoRojo)y.</t>
  </si>
  <si>
    <t>APAÑA. Pablo Casado, o cómo recuperar el PP más retrógrado y extremista en 10 ‘cómodos’ pasos -  https%3A%2F%%2Ftremending%2F2018%2F10%2F03%2Fpablo-casado-o-como-recuperar-el-pp-mas-retrogrado-y-extremista-en-10-comodos-pasos%2F</t>
  </si>
  <si>
    <t>https://www.publico.es/tremending/2018/10/03/pablo-casado-o-como-recuperar-el-pp-mas-retrogrado-y-extremista-en-10-comodos-pasos/
http://2Fwww.publico.es</t>
  </si>
  <si>
    <t>Mecagoentó!!! Harto de tanto hijoputismo!!!!😬</t>
  </si>
  <si>
    <t>A.</t>
  </si>
  <si>
    <t>Cada día más convencido de que el chaleco facha (fachaleco) de Pablo Casado es un horrocrux de Aznar.</t>
  </si>
  <si>
    <t>Reino de Granada</t>
  </si>
  <si>
    <t>Pues parece que se confirma que en Andalucía no hay vida inteligente, ha afirmado la tuitera @protestona1 en un lucidísimo análisis.</t>
  </si>
  <si>
    <t>http://aruizcapilla.com</t>
  </si>
  <si>
    <t>House of CAT🎗</t>
  </si>
  <si>
    <t>Pablo Casado dice que van a hacer en Andalucía lo mismo que hicieron en España, que cachondo</t>
  </si>
  <si>
    <t>“Castilla miserable, ayer dominadora, envuelta en sus andrajos, desprecia cuanto ignora” (en plena vigencia)</t>
  </si>
  <si>
    <t>Victoria Ross</t>
  </si>
  <si>
    <t>Pablo Casado prepara una limpia en el PP aprovechando las derrotas de las autonómicas  vía @ecd_</t>
  </si>
  <si>
    <t>Ingeniero Industrial</t>
  </si>
  <si>
    <t>http://page.is/victoria-ross</t>
  </si>
  <si>
    <t>Antonio Romero.</t>
  </si>
  <si>
    <t>Dice Pablo Casado en la @la_ser que si ganan en Andalucía harán lo mismo que ya hicieron en España, Miedo el solo pensarlo, en fin, creo que fue un mal chiste.</t>
  </si>
  <si>
    <t>Defendiendo los valores de la izquierda, muy orgulloso de pertenecer a un partido con casi 140 años de historia. PSOE</t>
  </si>
  <si>
    <t>Sergio de Carboneras</t>
  </si>
  <si>
    <t>La amenaza de Pablo Casado: "Vamos a hacer en Andalucía lo que hicimos en España"</t>
  </si>
  <si>
    <t>Vichu Collection</t>
  </si>
  <si>
    <t>Apoteósico Zasca a Pablo Casado tras su tuit sobre Podemos y Venezuela | Eco Republicano | Diario República Española</t>
  </si>
  <si>
    <t>https://www.ecorepublicano.es/2018/11/apoteosico-zasca-pablo-casado-tras-su.html?m=1</t>
  </si>
  <si>
    <t>El Parador de Las Hortichuelas</t>
  </si>
  <si>
    <t>Venta Al Mayor Bisuteria y Complementos de Moda, c/Hortichuelas,16 (04721) El Parador de las Hortichuelas. Roquetas de Mar, Spain</t>
  </si>
  <si>
    <t>http://www.vichu.es</t>
  </si>
  <si>
    <t>El PP se juega mucho más que unos escaños en el Parlamento andaluz en las elecciones de este domingo. Porque su líder, Pablo Casado, elegido el pasado julio, se estrena en las urnas  Por @nataliajunquera</t>
  </si>
  <si>
    <t>http://ow.ly/O4uI30mPF8T</t>
  </si>
  <si>
    <t>belen</t>
  </si>
  <si>
    <t>aranjuez</t>
  </si>
  <si>
    <t>curiosa, la vida es política, no me preocupo me ocupo</t>
  </si>
  <si>
    <t>http://girasolok.blogspot.com.es</t>
  </si>
  <si>
    <t>Pateando España</t>
  </si>
  <si>
    <t>https://pbs.twimg.com/media/DtbRvRrWsAAOARs.jpg</t>
  </si>
  <si>
    <t>Guía divulgativa de imágenes y vídeo de España, reflejando su arquitectura, paisaje, cultura, musicales, naturaleza, sus gentes, y Memes de Corruptos,</t>
  </si>
  <si>
    <t>http://pateandoespaña.es/</t>
  </si>
  <si>
    <t>MagicLude</t>
  </si>
  <si>
    <t>Qué guapas las batallas de gallos, es una pena que no estuviese Pablo Casado delante para responder RT @pnique: Hermano andaluz. Hermana andaluza. Hayas votado a quien hayas votado en el pasado. No te voy a pedir el voto. Sólo te pido que veas estos 2 minutos de @TeresaRodr_... Y que mañana vayas a votar pensando en las cosas que son de verdad. Andalucía se juega mucho.</t>
  </si>
  <si>
    <t>Estudiante de Finanzas y Contabilidad en la UC3M || Real Madrid Club de Fútbol || Amante de la NBA || #TakeNote ||</t>
  </si>
  <si>
    <t>http://Instagram.com/danielmartinmagan</t>
  </si>
  <si>
    <t>LarrySion</t>
  </si>
  <si>
    <t>Dalas Review: el Pablo Casado de los youtubers.</t>
  </si>
  <si>
    <t>Odio bajar la basura.</t>
  </si>
  <si>
    <t>https://play.google.com/store/apps/details?id=com.larrysion.whatsappstickers</t>
  </si>
  <si>
    <t>luis garea</t>
  </si>
  <si>
    <t>Pablo Casado: "El PP es el partido de la honestidad" //cadenaser.com/ser/2018/11/30/politica/1543613809_281010.html?ssm=tw @El_Intermedio @lavozdegalicia @elmundoes ....</t>
  </si>
  <si>
    <t>Yasmi 🌈 🇮🇨</t>
  </si>
  <si>
    <t>*Conversación real con mi tía* – Tía: Está en la tele el que más te gusta (con ironía) – Yo: ¿quién? ¿Pablo Casado? ¿El rey? – Tía: Asómate pa' que veas *Veo que está Bertín Osborne* – Yo: Oss por dios pa' esto me hubiera quedado en la cama *Mi tía se ríe de mí*</t>
  </si>
  <si>
    <t>TENERIFE 🏝</t>
  </si>
  <si>
    <t>Déjame invitarte a mi vida, y enseñarte el 922 // 🏳️‍🌈🥀</t>
  </si>
  <si>
    <t>https://www.instagram.com/yasmi_gonzalez_</t>
  </si>
  <si>
    <t>Martín Amechazurra</t>
  </si>
  <si>
    <t>Pero de desarrollo, no como Pablo Casado</t>
  </si>
  <si>
    <t>https://www.hobbyconsolas.com/noticias/microsoft-planea-adquirir-mas-estudios-2019-segun-insider-338959</t>
  </si>
  <si>
    <t>Escribo sobre videojuegos en @Hobby_Consolas, y también hago muchos chistes malos</t>
  </si>
  <si>
    <t>http://orangizer.com</t>
  </si>
  <si>
    <t>☮ zıʇɹo sɐlq ♋</t>
  </si>
  <si>
    <t>De cemento armao ... Si colocáramos en el suelo, uno detrás de otro, los folios de todos los sumarios judiciales por corrupción que afectan al Partido Popular, Pablo Casado podría cruzarse España descalzo, de punta a punta, sin mancharse los pies.</t>
  </si>
  <si>
    <t>http://cadenaser.com/ser/2018/11/30/politica/1543613809_281010.html?ssm=fb&amp;fbclid=IwAR0rvW8XL-eFQNibC9B28MSVfzVy5W8K0DAe8t3YGDvbn9iwiexC2g3Bxd8</t>
  </si>
  <si>
    <t>Ea ,... pues ya estoy aquí. Podéis ir pensando en vuestros otros 2 deseos. Creedme que ésta es mi cuenta seria. La de risa es la tiene el banco.</t>
  </si>
  <si>
    <t>http://piensadistintoperopiensayconelcorazom.blogspot.com.es/</t>
  </si>
  <si>
    <t>#Trampito #Casado , que quere que o vexan como defensor de “la #España que madruga”, non ten máis profesión que a política:  #PP #hipocrisía #vividor</t>
  </si>
  <si>
    <t>https://www.eldiario.es/politica/Pablo-Casado-Nuevas-Generaciones-PP_0_797220880.html</t>
  </si>
  <si>
    <t>manu fa</t>
  </si>
  <si>
    <t>argentina</t>
  </si>
  <si>
    <t>http://oficios2011.blogspot.com.ar</t>
  </si>
  <si>
    <t>JanaGijon</t>
  </si>
  <si>
    <t>Pablo Casado en la política pinta lo mismo que yo en la vida, nada.</t>
  </si>
  <si>
    <t>Pablo Casado siguiendo las votaciones en #EleccionesAndalucia</t>
  </si>
  <si>
    <t>pic.twitter.com/fmknNixCRx</t>
  </si>
  <si>
    <t>hiswe ☭</t>
  </si>
  <si>
    <t>Pablo Casado amenaza a las y los andaluces #EleccionesAndalucía RT @La_SER: Pablo Casado: "Vamos a hacer en Andalucía lo que hicimos en España"</t>
  </si>
  <si>
    <t>https://twitter.com/La_SER/status/1068583424234004481
http://cadenaser.com/emisora/2018/11/30/radio_cordoba/1543603194_695608.html</t>
  </si>
  <si>
    <t>https://pbs.twimg.com/media/DtRe9GSWkAAnyDw.jpg</t>
  </si>
  <si>
    <t>Comunista ☭ Antifeixista ★ 100% Classe Obrera #antifa #RefugeesWelcome</t>
  </si>
  <si>
    <t>BETTYGALAICA</t>
  </si>
  <si>
    <t>En TWITTER los acaban de bautizar como "las gemelas Olsen. Dicen los gallegos "tal para cuál, marajota y media".....cuspidiños.... ¡Qué grandes los dichos y refranes gallegos" #bettygalaica #lasgemelasolsen</t>
  </si>
  <si>
    <t>Hispano-Argentina aficionada a la fotografía, la cocina, la escritura, la pintura y el football (forofa de Messi). Amante incondicional de Argentina y España.</t>
  </si>
  <si>
    <t>http://bettygalaica.blogspot.com</t>
  </si>
  <si>
    <t>Francisco Romero</t>
  </si>
  <si>
    <t>Andalucía marcará hoy el futuro de Pedro Sánchez y de Pablo Casado</t>
  </si>
  <si>
    <t>http://dlvr.it/Qsdm64</t>
  </si>
  <si>
    <t>https://pbs.twimg.com/media/Dta8n3xVsAAFzzs.jpg</t>
  </si>
  <si>
    <t>Funcionario. Pensando que se puede cambiar el mundo si todos lo intentamos un poco #Padre de #Andrea y amante del Padel</t>
  </si>
  <si>
    <t>Alberto Comeche</t>
  </si>
  <si>
    <t>Buf, asusta el legado que está sembrando Pablo Casado entre sus felígreses. Con este nivel, me rio del populismo y las pantomimas de Rivera y Villacís. RT @IdiazAyuso: Cada puesto de trabajo, cada comercio que se cierre, cada emergencia o necesidad que se quede sin atender significará un fracaso de #MadridCentral. Para el que nunca se ha jugado el patrimonio de sus hijos generando empleo quizá sea más difícil comprenderlo.</t>
  </si>
  <si>
    <t>https://twitter.com/idiazayuso/status/1069197287824531456</t>
  </si>
  <si>
    <t>Orcasitas, Madrid</t>
  </si>
  <si>
    <t>Ser mundano, buscavidas, apátrida y de los #Pacers. En Twitter damos rienda suelta a nuestro álter ego.</t>
  </si>
  <si>
    <t>http://Instagram.com/comechenator</t>
  </si>
  <si>
    <t>pablenin</t>
  </si>
  <si>
    <t>http://dlvr.it/Qsdl0y</t>
  </si>
  <si>
    <t>https://pbs.twimg.com/media/Dta6ySvUUAARFHq.jpg</t>
  </si>
  <si>
    <t>Barato de Verdad</t>
  </si>
  <si>
    <t>Mira que si gana una "coalición de perdedores" como la de Pablo Casado en el PP. #EleccionesAndalucia #EleccionesAndaluzas #2D #2DAndalucia #2Diciembre  RT @WillyTolerdoo: Hoy vamos a ver a los socialistos defender que tiene que gobernar la lista más votada después de tirarse 4 años pregonando lo contrario.</t>
  </si>
  <si>
    <t>https://twitter.com/WillyTolerdoo/status/1069236165226741760</t>
  </si>
  <si>
    <t>https://pbs.twimg.com/media/Dta6X-oWkAATzZv.jpg</t>
  </si>
  <si>
    <t>Sígueme para ver lo + #BARATO: #juegos (#PS4, #Switch, #Xbox, #3DS, #PC), #cine (#BluRay y #DVD)... #Sorteos, #humor, #política... Si me haces RT te SIGO.</t>
  </si>
  <si>
    <t>Felipe</t>
  </si>
  <si>
    <t>A todos aquellos votantes del Partido Popular que se hayan marchado desilusionado por la pérdida de los valores propios del partido como hice yo, demos un voto de confianza a Pablo Casado, no quedaros en la casa acudir a votar al Partido Popular y empecemos por cambiar Andalucía</t>
  </si>
  <si>
    <t>Una Nación no se pierde porque unos la ataquen, sino porque quien la ama no la defiende.</t>
  </si>
  <si>
    <t>#FraseDelDia | Pablo Casado: "El PP es el partido de la honestidad"</t>
  </si>
  <si>
    <t>http://bit.ly/2KPYwVW</t>
  </si>
  <si>
    <t>https://pbs.twimg.com/media/DtaebdbX4AAH1K3.jpg</t>
  </si>
  <si>
    <t>mr fahrenheit</t>
  </si>
  <si>
    <t>Pues yo sigo pensando que Pablo Casado es el alter ego facha de Julian Lopez</t>
  </si>
  <si>
    <t>Ikea</t>
  </si>
  <si>
    <t>si tan buenos amigos somos por qué no estamos comiendo pizza y viendo una peli</t>
  </si>
  <si>
    <t>El de la guitarra</t>
  </si>
  <si>
    <t>No se debe invertigar al rey, ni a Pablo Casado, ni a Mariano Rajoy... Pero hay que investigar cómo han conseguido hacer una foto en una cárcel? Pues si esas son nuestras prioridades... RT @carlesenric: Mi duda.. ¿ quien ha hecho foto?...¿un fotógrafo profesional?... ¿un preso?... ¿un funcionario? creo no se puede entrar una cámara en prisión. Debería investigarse ya. ¡Es una cárcel no un resort turistico!</t>
  </si>
  <si>
    <t>https://twitter.com/carlesenric/status/1068812756403531776</t>
  </si>
  <si>
    <t>https://pbs.twimg.com/media/DtUvh-rWwAAw2YE.jpg</t>
  </si>
  <si>
    <t>Segovia, España</t>
  </si>
  <si>
    <t>¿Vives o sobrevives? / Del 98 / Valseca Turegano Nueva Segovia/ Nado entre los besos de tus notas / Una guitarra, miles de emociones. Hago música ⬇⬇</t>
  </si>
  <si>
    <t>https://youtu.be/HfS7U0nkrIU</t>
  </si>
  <si>
    <t>Hippie Pirata #nosinmujeres</t>
  </si>
  <si>
    <t>Al "Vamos a hacer en Andalucía lo que hicimos en España" de Pablo Casado, y al "En Andalucía vamos a seguir haciendo lo mismo de siempre" de Susanita, le falta añadir: dependiendo el número de sumisos que encontremos.</t>
  </si>
  <si>
    <t>http://cadenaser.com/emisora/2018/11/30/radio_cordoba/1543603194_695608.html?ssm=fb&amp;fbclid=IwAR1UnWbHnAlYsQBQUzeFvvddh4X3o_rHeuB4TDM-9hQDdn3Um4qGZq714ow</t>
  </si>
  <si>
    <t>https://pbs.twimg.com/media/Dta00eQXcAEjseo.jpg</t>
  </si>
  <si>
    <t>Escritor, hippie y PIRATA por encima de todo.</t>
  </si>
  <si>
    <t>Victoria fuentes</t>
  </si>
  <si>
    <t>http://dlvr.it/QsdglG</t>
  </si>
  <si>
    <t>https://pbs.twimg.com/media/Dta1hM4VsAAzD1C.jpg</t>
  </si>
  <si>
    <t>Desde mi apartamento en Madrid, redacto un pequeño y atípico #cursodeinglés</t>
  </si>
  <si>
    <t>https://lavidaeningles.wordpress.com/</t>
  </si>
  <si>
    <t>Blanca R Bandarrita 💜🔻</t>
  </si>
  <si>
    <t>Además de dar vergüenza su caradura, no deja de ser curioso que para estar tan preocupado por la buena salud de la lengua española, Pablo Casado ni siquiera sepa hablarla con corrección.</t>
  </si>
  <si>
    <t>https://pbs.twimg.com/media/Dtazay8WkAAK_cj.jpg</t>
  </si>
  <si>
    <t>You keep using that word. I do not think it means what you think it means. Traductora literaria. Escritora en pañales. Traducción, feminismo y frikerío.</t>
  </si>
  <si>
    <t>http://www.blanca-rodriguez.com</t>
  </si>
  <si>
    <t>seria un chiste si no fuera que es del todo real #ojoconlacartera Pablo Casado: "El PP es el partido de la honestidad"  via @La_SER</t>
  </si>
  <si>
    <t>Antonio Cabo</t>
  </si>
  <si>
    <t>¿Autonómicas o generales?, por A.Burgos - Susana no ha tenido enfrente ni a Juanma Moreno ni a Juan Marín, sino a Pablo Casado y a Albert Rivera. Tiene más suerte de un quebrado. Con dos de sus ex presidentes en el banquillo por la mangoleta de los ERE</t>
  </si>
  <si>
    <t>http://www.antonioburgos.com/abc/2018/12/re120218.html@AbeInfanzon</t>
  </si>
  <si>
    <t>Sax - Alicante</t>
  </si>
  <si>
    <t>Católico. Español. Amante de las pequeñas cosas. Licenciado con 'aprobao-raspao' en la Universidad de la Vida.</t>
  </si>
  <si>
    <t>🇳🇬 festive but angry hujo 🎗</t>
  </si>
  <si>
    <t>la tere llamando mamarracho a Pablo casado es mi nueva religión RT @Nicormg: Ole tu coño, Teresa</t>
  </si>
  <si>
    <t>Sevilla-Barna</t>
  </si>
  <si>
    <t>21. Intento de director y guionista. CAV en la UVic. Feminist ally. LG(B)T. Me gustan cosas. Y ya.</t>
  </si>
  <si>
    <t>http://bit.ly/2iSWS8s</t>
  </si>
  <si>
    <t>Jordi Carro Sannicolas</t>
  </si>
  <si>
    <t>Pablo Casado: "Vamos a hacer en Andalucía lo que hicimos en España" Esta promesa electoral esconde una amenaza en toda regla!!</t>
  </si>
  <si>
    <t>Pedro Sánchez , Pablo Iglesias , Susana Díaz , Teresa Rodriguez , Casado , Rivera Ante las irregularidades existentes en las elecciones Andaluzas , qué medidas consideran que se han de tomar , para que el voto de cada ciudadano , vaya a quien el ciudadano a decididido votar .</t>
  </si>
  <si>
    <t>t-rex trist</t>
  </si>
  <si>
    <t>Me hace gracia que Pablo Casado quiera gobernar la "España de los balcones y las banderas" porque, efectivamente, quiere gobernar una España vacía. Esa España de la que habla es un trapo que "los españoles" blanden mientras no suponga ningún otro esfuerzo. #EleccionesAndaluzas</t>
  </si>
  <si>
    <t>La Línea - Sevilla</t>
  </si>
  <si>
    <t>intento juntar letras y no enfadarme pero me lo ponéis difícil🦕libros, feminismo y gay agenda al día 👸🏼 Tei+Hum『🇺🇸🇩🇪🇯🇵』AETI [ex@FranyDigger]</t>
  </si>
  <si>
    <t>deivi🔌 // sabela finalista</t>
  </si>
  <si>
    <t>Ha llamado mamarracho a Pablo Casado, SHE DID THAT OMG me meo jajjaajajajaj RT @Nicormg: Ole tu coño, Teresa</t>
  </si>
  <si>
    <t>🌸l(g)tb🏳️‍🌈 Perpendicular y mientras tanto💔. Sordas team. La única constante en mi vida es la cerveza</t>
  </si>
  <si>
    <t>A. Martí Martín</t>
  </si>
  <si>
    <t>#EleccionesAndalucía Hoy muchos del PP recordarán: Pablo Casado y las malas compañías @pablocasado_ #Masby ►  … vía @JVSantacreu</t>
  </si>
  <si>
    <t>http://santacreu.redsat.net/pablo-casado-y-las-malas-companias-pablocasado_/</t>
  </si>
  <si>
    <t>No me gusta lo que veo a mi alrededor, y cada día menos. La democracia en España se ha reconstruido en base a 17 mentiras y lo grave es que a muchos les gusta</t>
  </si>
  <si>
    <t>http://www.masaborreguera.com/</t>
  </si>
  <si>
    <t>Pablo Casado: "El PP es el partido de la honestidad"  vía @La_SER Grande Casado! Ánimo!!</t>
  </si>
  <si>
    <t>Races de Karting</t>
  </si>
  <si>
    <t>Muy aficionado a los deportes del motor.</t>
  </si>
  <si>
    <t>Una mujer rumana contesta a Pablo Casado con este devastador tuit</t>
  </si>
  <si>
    <t>https://www.huffingtonpost.es/2018/11/27/una-mujer-rumana-contesta-a-pablo-casado-con-este-devastador-tuit_a_23602074/</t>
  </si>
  <si>
    <t>https://pbs.twimg.com/media/Dtar-x_XQAEOTTt.jpg</t>
  </si>
  <si>
    <t>Andrés Alcón</t>
  </si>
  <si>
    <t>Decidle a Pablo Casado que ya puede dejar de hacer el mongolo por aquí por Andalucía. Que esto ya acabó.</t>
  </si>
  <si>
    <t>Ala oeste de la Casablanca</t>
  </si>
  <si>
    <t>“Qué días illo. Toyota borracho dejadme”</t>
  </si>
  <si>
    <t>Pablo Che</t>
  </si>
  <si>
    <t>Antes de llamar asesino al doctor Ernesto Guevara, el señor Pablo Casado debería leer al "Che", debería leer sus biografías, ver los echos.... Y luego ver quien fue el fundador de su…</t>
  </si>
  <si>
    <t>https://www.instagram.com/p/Bq4yef2BrZX/?utm_source=ig_twitter_share&amp;igshid=1lnpvq512un4z</t>
  </si>
  <si>
    <t>Luchador social, Adoptado, voluntario, seguidor de Chancho y el resto de los Barbudos.</t>
  </si>
  <si>
    <t>zarasenda</t>
  </si>
  <si>
    <t>Debacle electoral del PP en las Andaluzas .Miles de votantes franquistas al PP lo harán a VOX. Otros indignados por la truculencia y los insultos de Pablo Casado,votarán a CIUDADANOS..El PP desaparecerá del mapa político como le ocurrió a UCD.</t>
  </si>
  <si>
    <t>Jubilado con 51 años cotizados.Me preocupa el futuro de mis hijos y nietos</t>
  </si>
  <si>
    <t>Lola Carames</t>
  </si>
  <si>
    <t>Los buenos modales de Pablo Casado</t>
  </si>
  <si>
    <t>https://ctxt.es/es/20181129/Firmas/23175/Pablo-Casado-inmigracin-Gerardo-Tec-buenos-modales.htm</t>
  </si>
  <si>
    <t>Noia</t>
  </si>
  <si>
    <t>Muller profe aprendendo a diario</t>
  </si>
  <si>
    <t>🍅</t>
  </si>
  <si>
    <t>Teresa Rodríguez llamando mamarracho a Pablo Casado es mi asmr</t>
  </si>
  <si>
    <t>En las barricadas</t>
  </si>
  <si>
    <t>No soy tan ingeniosa, lo siento. | Con menos gracia y un poco más seria soy @lauracmrtnz</t>
  </si>
  <si>
    <t>Andalucía marcará hoy el futuro de Pedro Sánchez y de Pablo Casado  vía @elmundoes</t>
  </si>
  <si>
    <t>Jose L. Sotelo</t>
  </si>
  <si>
    <t>Pablo Casado y la enormidad de España</t>
  </si>
  <si>
    <t>NO HABRA PAZ PARA LOS MALDITOS</t>
  </si>
  <si>
    <t>https://plus.google.com/101097701906649811564</t>
  </si>
  <si>
    <t>Luis Tello</t>
  </si>
  <si>
    <t>#LaSemanaDe don Antonio Burgos (@AbeInfanzon) #Domingo ¿Autonómicas o generales?  Susana no ha tenido frente ni a Juanma Moreno ni a Juan Marín, sino a Pablo Casado y a Albert Rivera</t>
  </si>
  <si>
    <t>http://www.antonioburgos.com/abc/2018/12/re120218.html</t>
  </si>
  <si>
    <t xml:space="preserve">Sevilla, España </t>
  </si>
  <si>
    <t>Español y andaluz. Me gusta la Navidad y la Semana Santa. Soy aficionado a todo lo taurino. De Granada y vivo en Sevilla. Cosecha del 70</t>
  </si>
  <si>
    <t>http://luistellom.blogspot.com.es/</t>
  </si>
  <si>
    <t>#Politica: Los comicios andaluces han abierto este domingo un intenso ciclo electoral en España. Unas elecciones regionales vistas más en clave nacional que podrían marcar el futuro de Pablo Casado y del presidente de Gobierno, Pedro Sánchez.</t>
  </si>
  <si>
    <t>https://www.mundiario.com/articulo/politica/elecciones-andalucia-2018-cuestion-nacional/20181202132503139507.html</t>
  </si>
  <si>
    <t>Ángel Moreno</t>
  </si>
  <si>
    <t>¿Autonómicas o generales?, por A.Burgos - Susana no ha tenido frente ni a Juanma Moreno ni a Juan Marín, sino a Pablo Casado y a Albert Rivera  vía @AbeInfanzon</t>
  </si>
  <si>
    <t>Jubilado, abuelo por vocación, coplero por afición y amante de la naturaleza. Extremeño, andaluz y muy español. Mis RT y FV solo para tuits en positivo</t>
  </si>
  <si>
    <t>Hoy se celebran elecciones andaluzas, por lo que hemos visto los candidatos a la Junta son: Abascal, por la ultraderecha 1, Pablo Casado por la ultraderecha 2, Albert Rivera, por la ultraderecha 3, Teresa Rodríguez por la izquierda comunista y Susana Díaz por la iz. Socialista.</t>
  </si>
  <si>
    <t>Os propongo un juego, escribe un posible final al destino inmediato de los migrantes si el capitán del nuestra señora de Loreto hubiera sido pablo casado o santi abascal.</t>
  </si>
  <si>
    <t>R.</t>
  </si>
  <si>
    <t>Pablo Casado necesita mote.</t>
  </si>
  <si>
    <t>Juego El Tesorero</t>
  </si>
  <si>
    <t>https://twitter.com/adelanteand/status/1068605225370562560</t>
  </si>
  <si>
    <t>Somos iguales ante la Ley y los delitos tienen consecuencias salvo que te llames Pablo Casado y el Supremo permita que te regalen la carrera y un máster. RT @pablocasado_: España es un Estado de Derecho donde todos somos iguales ante la ley. Los delitos tienen consecuencias y la justicia actúa con independencia y sin presiones. Nuestra integridad territorial y unidad nacional es innegociable.</t>
  </si>
  <si>
    <t>pic.twitter.com/sM3rAdy9Fp</t>
  </si>
  <si>
    <t>¿Quieres abrir un aeropuerto sin aviones? ¿Poner una estación de AVE en tu pueblo? Mándame SMS y hablamos. http://JuegoElTesorero.com editado por @CrazyPawn @GenXGames</t>
  </si>
  <si>
    <t>Pablo Casado mamarracho! RT @Nicormg: Ole tu coño, Teresa</t>
  </si>
  <si>
    <t>Sevilla - Andalucía</t>
  </si>
  <si>
    <t>Es normal que la Geografía sea una ciencia tan denostada. El poder nunca ha querido que sepamos tanto de todo.</t>
  </si>
  <si>
    <t>Carlos Vázquez</t>
  </si>
  <si>
    <t>Los andaluces no votáis para dilucidar si Pablo Casado se consolida dentro del partido después de haberse dejado la piel y la afinación en #Andalucía ni para despejar la incógnita de si la derecha debe apostar...</t>
  </si>
  <si>
    <t>https://www.facebook.com/128772720529331/posts/2348168565256391/</t>
  </si>
  <si>
    <t>Más periodista por oficio que escritor. Trabajé en La Voz de Galicia y RadioVoz. Colaboré en las revistas Trasluz y ECO. Pasé por Cope,EL Progreso y Cadena Ser</t>
  </si>
  <si>
    <t>https://carlosvquez.blogspot.com.es/</t>
  </si>
  <si>
    <t>Edu Jordan Cruz</t>
  </si>
  <si>
    <t>¿Quien va a quedar segundo en la #EleccionesAndalucia ? #EleccionesAndaluzas #2D Adelante Podemos IU PP Ciudadanos Albert Rivera Pablo Casado Teresa Rodriguez #FelizDomingo Juan Marín Moreno Bonilla PSOE</t>
  </si>
  <si>
    <t>La Orotava, España</t>
  </si>
  <si>
    <t>Citizen of the world🗺️. Aprendiz de la vida📚. Si no te gusta algo cámbialo (Maya Angelou).</t>
  </si>
  <si>
    <t>LuCa  ||*|| 🏍🎗</t>
  </si>
  <si>
    <t>Pablo Casado... 😅😂🤣🤣🤣🤣 👇👇👇👇 RT @pablocasado_: España es un Estado de Derecho donde todos somos iguales ante la ley. Los delitos tienen consecuencias y la justicia actúa con independencia y sin presiones. Nuestra integridad territorial y unidad nacional es innegociable.</t>
  </si>
  <si>
    <t>Soy responsable de lo que digo, no de que lo entiendas</t>
  </si>
  <si>
    <t>Pedro Águeda</t>
  </si>
  <si>
    <t>Los mítines solo sirven para alimentar a las bases y sacar un corte, generalmente soso, en los telediarios. Con alguna excepción. Este de la candidata Rodríguez resume la campaña andaluza de Pablo Casado y al personaje, que no sabe nada de Andalucía RT @NachoVegasTwit: 🎵MAMARRACHO hay que decirlo más🎵 Enorme @TeresaRodr_ desmontando el racismo indisimulado y miserable de esta derecha mamarracha.</t>
  </si>
  <si>
    <t>https://twitter.com/nachovegastwit/status/1069006156360765440?s=21
https://twitter.com/AdelanteAND/status/1068605225370562560</t>
  </si>
  <si>
    <t xml:space="preserve"> Madrid</t>
  </si>
  <si>
    <t>“Pa’ sonar calle, no hay que ofrecer tiros” agueda@eldiario.es</t>
  </si>
  <si>
    <t>Carlitos</t>
  </si>
  <si>
    <t>🇪🇸#GeneraciónX. Pero con pocas experiencias vividas... Tecnología, Naturaleza, Climatología y Economía. #hibridos #notengowhatsapp #handisparoprimero!! #UTC+1</t>
  </si>
  <si>
    <t>Jesús María Uriz</t>
  </si>
  <si>
    <t>#Andalucía marcará hoy el futuro de Pedro Sánchez y de Pablo Casado  vía @elmundoes #elecciones</t>
  </si>
  <si>
    <t>Pamplona</t>
  </si>
  <si>
    <t>http://jesusmariauriz.blogspot.com</t>
  </si>
  <si>
    <t>Tuitnews</t>
  </si>
  <si>
    <t>Seguimos las noticias en las redes en defensa del interés público.</t>
  </si>
  <si>
    <t>http://www.tuitnews.es</t>
  </si>
  <si>
    <t>Ni Dios ni Rey</t>
  </si>
  <si>
    <t>Fotografía a todo color de un Gilipollas Esférico. Se llama Teodoro García Egea y es el número 2 del PP de Pablo Casado, el de máster y la carrera de derecho falsa</t>
  </si>
  <si>
    <t>https://pbs.twimg.com/media/DtaRBOoW0AcKQUs.jpg</t>
  </si>
  <si>
    <t>Esperando el Asteroide de 10Km de diámetro que nos ponga en nuestro sitio. "Periodista de Investigación Superficial"</t>
  </si>
  <si>
    <t>Tras insinuar que “votar a VOX es votar al PSOE”, ahora Pablo Casado se muestra dispuesto a pactar con los de Santiago Abascal #EleccionesAndaluzas</t>
  </si>
  <si>
    <t>https://pbs.twimg.com/media/DtaQcJwWwAE0vvs.jpg</t>
  </si>
  <si>
    <t>T͙E͙S͙E͙  ©</t>
  </si>
  <si>
    <t>Andalucía marcará hoy el futuro de Pedro Sánchez y Pablo Casado uno se mantendrá a la baja y otro cosechara un derrumbe tremendo....</t>
  </si>
  <si>
    <t>http://www.elmundo.es/espana/2018/12/02/5c02dc68fc6c83e67a8b45a2.html</t>
  </si>
  <si>
    <t xml:space="preserve">Spain </t>
  </si>
  <si>
    <t>Geógrafo. /El sol en el horizonte siempre es mi guia / Tecnico en sistemas de mapeado móvil 🖥️💻🖲️/ #Sanidaddignaya⬇️</t>
  </si>
  <si>
    <t>A ESTE MISERABLE LE ACOMPAÑAN LOS ZASKAS HASTA CUANDO SALUDA … Y ES QUE ESTE TIPO NO SALUDA ... INSULTA</t>
  </si>
  <si>
    <t>https://www.ecorepublicano.es/2018/11/apoteosico-zasca-pablo-casado-tras-su.html</t>
  </si>
  <si>
    <t>😳😳😳😂😂😂😂Pablo Casado: "El PP es el partido de la honestidad" //cadenaser.com/ser/2018/11/30/politica/1543613809_281010.html?ssm=tw</t>
  </si>
  <si>
    <t>ƒυυқо [베로니까🌸ベロニカ]</t>
  </si>
  <si>
    <t>Que dice Pablo Casado... 😂😂😂 Que dice que... 🤣🤣</t>
  </si>
  <si>
    <t>https://pbs.twimg.com/media/DtaM6ccWsAA7KMX.jpg</t>
  </si>
  <si>
    <t>Friki. Gamer. Amante de los libros y de la fotografía. Escritora por afición (✍ Wattpad user: VeronicaFdez) Vegetariana</t>
  </si>
  <si>
    <t>https://linktr.ee/fuuko_home</t>
  </si>
  <si>
    <t>Harry Fowles</t>
  </si>
  <si>
    <t>Pablo Casado, experto distorsionador de la realidad.</t>
  </si>
  <si>
    <t>País Llionés 🦁</t>
  </si>
  <si>
    <t>Soberanismu llionés ✊. Xeógrafu 🌍. Banda esquierda. Sit tibi terra levis.</t>
  </si>
  <si>
    <t>Pablo Casado: "El PP es el partido de la honestidad". Y el tocino y la panceta la comida de los veganos, @pablocasado_ //cadenaser.com/ser/2018/11/30/politica/1543613809_281010.html?ssm=tw</t>
  </si>
  <si>
    <t>Ｓａｎｚ</t>
  </si>
  <si>
    <t>Pablo Casado prepara una limpia en el PP aprovechando las derrotas de las autonómicas. Cobarde.  vía @ecd_</t>
  </si>
  <si>
    <t>Ya no estoy muy convencido de que podemos transformar España de país de oportunistas a país de oportunidades.</t>
  </si>
  <si>
    <t>Pablo Casado ya reconoce el "error" de pactar el reparto del CGPJ con el Gobierno</t>
  </si>
  <si>
    <t>http://dlvr.it/QsdB62</t>
  </si>
  <si>
    <t>https://pbs.twimg.com/media/DtaH-mPV4AIh1io.jpg</t>
  </si>
  <si>
    <t>Juan Vidal</t>
  </si>
  <si>
    <t>nací...y llevo desde entonces dando vueltas...</t>
  </si>
  <si>
    <t>Manuel Sánchez T.</t>
  </si>
  <si>
    <t>¿Autonómicas o generales?, por A.Burgos - Susana no ha tenido frente ni a Juanma Moreno ni a Juan Marín, sino a Pablo Casado y a Albert Rivera Ayer un amigo del PC me dijo, no se te ocurrirá votar a Vox, no? Y le dije ni tú a la hoz, vale?  vía @AbeInfanzon</t>
  </si>
  <si>
    <t>Hispalense, Macareno, Armao en la reserva, Bético por la gracia de Dios!! #DeSevillanasManeras ¡¡Quien no vive para servir, no sirve para vivir!! 🇪🇸</t>
  </si>
  <si>
    <t>Jhabi</t>
  </si>
  <si>
    <t>#FelizDomingo a la gente de bien que quiere que se esclarezcan asuntos tan graves como el accidente de hace 5 años en #Angrois ¿Aquí Pablo Casado también esperaría un “Viva el Rey!”? 👇</t>
  </si>
  <si>
    <t>https://youtu.be/8fpRr-yYJwY</t>
  </si>
  <si>
    <t>ubicuo</t>
  </si>
  <si>
    <t>Creo en la sociedad y en la soberanía popular, no en la falsa democracia que se nos ha vendido. Escribo a lo loco.</t>
  </si>
  <si>
    <t>http://www.xn--democraciajajaj-1jb.es</t>
  </si>
  <si>
    <t>#EleccionesAndalucía Hoy muchos del PP recordarán: Pablo Casado y las malas compañías @pablocasado_ #Masby ►  vía @JVSantacreu</t>
  </si>
  <si>
    <t>🦋 Ataraxia 🌹</t>
  </si>
  <si>
    <t>JAJAJAJAJA QUE HA LLAMADO MAMARRACHO A PABLO CASADO, ES QUE ES DE LO QUE NO HAY 💞💞💞 RT @pnique: Hermano andaluz. Hermana andaluza. Hayas votado a quien hayas votado en el pasado. No te voy a pedir el voto. Sólo te pido que veas estos 2 minutos de @TeresaRodr_... Y que mañana vayas a votar pensando en las cosas que son de verdad. Andalucía se juega mucho.</t>
  </si>
  <si>
    <t xml:space="preserve">Torrelavega 🛬 Sevilla </t>
  </si>
  <si>
    <t>Soy @Riotmamba99 |🌹Lauren y Halsey son mis madres | LG(B)T♀️ | Albalia is real and u can't change my mind | Antropología Social y Cultural | Ojalá volver 27/06</t>
  </si>
  <si>
    <t>Y éste es el principal motivo por el que no hay que votar PP. Pablo Casado: "Vamos a hacer en Andalucía lo que hicimos en España" //cadenaser.com/emisora/2018/11/30/radio_cordoba/1543603194_695608.html?ssm=tw</t>
  </si>
  <si>
    <t>#OPINIÓN: "Susana no ha tenido enfrente ni a Juanma Moreno ni a Juan Marín, sino a Pablo Casado y a Albert Rivera", el artículo de @AbeInfanzon hoy en #ABCSevilla #EleccionesAndalucía #ABC2D</t>
  </si>
  <si>
    <t>http://ow.ly/t2Og30mPzYy</t>
  </si>
  <si>
    <t>Ana Menéndez</t>
  </si>
  <si>
    <t>Mamarracho es uno de mis insultos preferidos y qué mejor término hay para definir a Pablo Casado. 💞</t>
  </si>
  <si>
    <t>Diva pop en clara decadencia.</t>
  </si>
  <si>
    <t>https://desdelasmusaranas.wordpress.com/</t>
  </si>
  <si>
    <t>Mateo Santamarta</t>
  </si>
  <si>
    <t>Hohojojojojo Pablo Casado: "El PP es el partido de la honestidad"  vía @La_SER</t>
  </si>
  <si>
    <t>Izagre (León, España), 1954. Soy pintor y también aficionado al grabado y la fotografía. Ex-preso político del franquismo.</t>
  </si>
  <si>
    <t>http://mateosantamarta.blogspot.com</t>
  </si>
  <si>
    <t>Los andaluces no votan para dilucidar si Pablo Casado se consolida dentro del partido después de haberse dejado la piel y la afinación en #Andalucía ni para despejar la incógnita de si la derecha debe apostar mejor...</t>
  </si>
  <si>
    <t>https://www.facebook.com/1631313905/posts/10216510148099487/</t>
  </si>
  <si>
    <t>Ilias Piony Music</t>
  </si>
  <si>
    <t>Que buen humorista es este pablo casado jajajaja superchisteeeee que a contado se me parten las costillas de tanto descojonarme</t>
  </si>
  <si>
    <t>https://www.facebook.com/100002086462271/posts/1973286789417517/</t>
  </si>
  <si>
    <t>España / Ceuta</t>
  </si>
  <si>
    <t>Cantante/Compositor ceutí nacido y criado en el barrio del Príncipe contacto: Iliaspiony@Gmail.com</t>
  </si>
  <si>
    <t>http://pionymusic.blogspot.com.es/</t>
  </si>
  <si>
    <t>Sile</t>
  </si>
  <si>
    <t>Ahí va UN CHISTE: Pablo Casado: "El PP es el partido de la honestidad" //cadenaser.com/ser/2018/11/30/politica/1543613809_281010.html?ssm=tw #StopDerecha</t>
  </si>
  <si>
    <t>San Juan de Alicante, España</t>
  </si>
  <si>
    <t>#Andalucía marcará hoy el #futuro de #Pedro_Sánchez y de #Pablo_Casado  vía @elmundoes</t>
  </si>
  <si>
    <t>Alba</t>
  </si>
  <si>
    <t>Teresa Rodríguez llamando mamarracho a Pablo Casado es mi nueva cosa favorita del mundo 💘💘💘 RT @Nicormg: Ole tu coño, Teresa</t>
  </si>
  <si>
    <t>Que nada nos defina. Que nada nos sujete. Que la libertad sea nuestra propia sustancia' - Simone de Beauvoir</t>
  </si>
  <si>
    <t>Josefina Llorente</t>
  </si>
  <si>
    <t>Palabras y ...más</t>
  </si>
  <si>
    <t>https://josefinallorentej.wixsite.com/canella</t>
  </si>
  <si>
    <t>Javier DG</t>
  </si>
  <si>
    <t>Sátira de temática política. Si Quevedo levantara la cabeza... Coplas de Mingo Revulgo, o de cómo Pablo Casado logró doblegar la naturaleza. Poesía de Javier Delgado Gallego @olduvay22  vía @nuevarevoluci0n</t>
  </si>
  <si>
    <t>La insoportable levedad del tuit Regeneracionismo #NoTTIP #NoCETA #StopJEFTA</t>
  </si>
  <si>
    <t>http://nuevarevolucion.es/columnas/poesia-critica/</t>
  </si>
  <si>
    <t>EL MUNDO Andalucía</t>
  </si>
  <si>
    <t xml:space="preserve">Sevilla </t>
  </si>
  <si>
    <t>Perfil de la redacción de El Mundo en Andalucía</t>
  </si>
  <si>
    <t>http://www.elmundo.es/andalucia.html</t>
  </si>
  <si>
    <t>Pablo Casado: "el PP es el partido de la honestidad" #EleccionesAndaluzas #OTDirecto2DIC</t>
  </si>
  <si>
    <t>https://pbs.twimg.com/media/DtZ3evVXcAAYURW.jpg</t>
  </si>
  <si>
    <t>Casado, con sondeos que dan hasta 6 escaños a VOX, pide a sus votantes que "vuelvan a casa", por @montesinospablo  vía @libertaddigital</t>
  </si>
  <si>
    <t>Sandra 🏳️‍🌈</t>
  </si>
  <si>
    <t>"Que el mamarracho de Pablo Casado se lave la boca antes de hablar de los trabajadores" Andalucía necesita a @TeresaRodr_ más que a ná ahora mismo. RT @AdelanteAND: 🗣 "Pablo Casado dice que los inmigrantes vienen a delinquir. Lo dice el líder de un partido que está de mierda hasta las trancas. Es un mamarracho" 💬 @TeresaRodr_ #AdelanteAndalucía</t>
  </si>
  <si>
    <t>https://twitter.com/AdelanteAND/status/1068605225370562560</t>
  </si>
  <si>
    <t>Bisexual porque me gustan las mujeres y las aceitunas aliñás.</t>
  </si>
  <si>
    <t>La comentada 'cobra' de Pablo Casado al presidente del PP de Granada</t>
  </si>
  <si>
    <t>https://www.huffingtonpost.es/2018/12/01/la-comentada-cobra-de-pablo-casado-al-presidente-del-pp-de-granada_a_23605887/?ncid=other_twitter_cooo9wqtham&amp;utm_campaign=share_twitter</t>
  </si>
  <si>
    <t>Elecciones Andalucía 2018: Andalucía marcará hoy el futuro de Pedro Sánchez y de Pablo Casado | España</t>
  </si>
  <si>
    <t>🌎ECDLC🌍SOFT🌏</t>
  </si>
  <si>
    <t>In my olive tree</t>
  </si>
  <si>
    <t>Día Mundial de la Población | UN - Ωω | Telecom | Κοῖος Koĩos | NATO | 武士 | Brave | ExeBat | IniVbs | 😏🤔⚽️🔗</t>
  </si>
  <si>
    <t>Eduardo Cerezo</t>
  </si>
  <si>
    <t>Disney presenta: “Tu a El Pardo y yo a El Valle”, con Albert Rivera y Pablo Casado. Dos gemelas separadas al nacer que se reencuentran ideológicamente al terminar sus estudios de máster.</t>
  </si>
  <si>
    <t>https://pbs.twimg.com/media/DtZzOv2XcAAIzen.jpg</t>
  </si>
  <si>
    <t>40.422072,-3.698374</t>
  </si>
  <si>
    <t>Posgrado #MarketingDigital, #CommunityManagement, #SocialMedia, #AnalíticaWeb. Interesado tecnología, cine, tv, series, animales..y mucho +, siempre aprendiendo</t>
  </si>
  <si>
    <t>http://es.linkedin.com/in/eduardocerezo</t>
  </si>
  <si>
    <t>Satine✨</t>
  </si>
  <si>
    <t>Mira yo no sé ahora con las elecciones de abdalucia me estoy planteando qué va a pasar en las próximas de España y como el psoe en el gobierno no os haya hecho replantearos que el PP no puede volver a salir y salga Pablo Casado es que no se qué hago tío que impotencia ser menor</t>
  </si>
  <si>
    <t>No sé qué va a pasar a partir de ahora, pero prometo que no será aburrido🌻</t>
  </si>
  <si>
    <t>ulises hillan</t>
  </si>
  <si>
    <t>La justicia como bien supremo</t>
  </si>
  <si>
    <t>Lara</t>
  </si>
  <si>
    <t>Pablo Casado hablando de esos terribles inmigrantes matando corderos. Hoy, la matanza del cerdo. Y tal.</t>
  </si>
  <si>
    <t>Zaragoza / Nowhere</t>
  </si>
  <si>
    <t>Graphic designer. Occasional illustrator. Graffiti hunter. Music lover. Not necessarily in that order. TFM Familia. Eyes behind http://immortalwalls.tumblr.com.</t>
  </si>
  <si>
    <t>http://www.laranoia.com</t>
  </si>
  <si>
    <t>https://twitter.com/SergiAG_/status/1068942685074001920</t>
  </si>
  <si>
    <t>Los gemelos diabólicos.</t>
  </si>
  <si>
    <t>pic.twitter.com/nWtgeiLGKv</t>
  </si>
  <si>
    <t>Philippe Courtet</t>
  </si>
  <si>
    <t>#psychiatry #suicidology #AFPBN @FondaMental_Psy #arles</t>
  </si>
  <si>
    <t>miguel1980</t>
  </si>
  <si>
    <t>Me ha gustado un vídeo de @YouTube ( - Primer RIFI RAFE entre Pedro Sánchez y Pablo Casado: Cataluña e</t>
  </si>
  <si>
    <t>http://youtu.be/fvQtHKdfM-A?a</t>
  </si>
  <si>
    <t>Gabriel Pascual</t>
  </si>
  <si>
    <t>https://bit.ly/2E8PFhI</t>
  </si>
  <si>
    <t>Entre Cocentaina y Alcoy</t>
  </si>
  <si>
    <t>Periodista- Ahora, en la radio | Cuento historias en @CopeAlcoy y @NostreCiutat | 🔍Pendiente de la actualidad</t>
  </si>
  <si>
    <t>https://es.linkedin.com/in/gabriel-pascual-borrás-03277760</t>
  </si>
  <si>
    <t>Inma RFincias</t>
  </si>
  <si>
    <t>Me guardo este vídeo para explicar en mis clases el Populismo Punitivo enfocado a la #LeyDelMenor Discursos políticos tan alejados de la realidad que asusta que @pablocasado_ pueda llegar a tener el control del gobierno y la propuesta se haga realidad...</t>
  </si>
  <si>
    <t>https://www.publico.es/tremending/2018/11/29/elecciones-andalucia-2018-el-video-de-pablo-casado-que-ejemplifica-a-la-perfeccion-que-es-el-populismo-punitivo/</t>
  </si>
  <si>
    <t>Puede parecer anecdótico, pero no lo es: en el cierre de...</t>
  </si>
  <si>
    <t>https://www.publico.es/tremending/2018/11/30/hoy-en-parecidos-razonables-pablo-casado-y-albert-rivera-se-visten-exactamente-igual-el-mismo-dia/?fbclid=IwAR0AJUACexpq2vDlplHCs8oCzaJIjGDvV064yKpWbn8oRmckPq3pbXCVo60</t>
  </si>
  <si>
    <t>Asnu Xabaz #oficialida'</t>
  </si>
  <si>
    <t>MAMARRACHO(a Pablo Casado) MAMARRACHO.Esta rapazina caeme bien.</t>
  </si>
  <si>
    <t>https://pbs.twimg.com/media/DtZotWYXgAApvCg.jpg</t>
  </si>
  <si>
    <t>Asturianista irredentu,democrata convenciu,progresista.Si me respetas respetarete siempre.</t>
  </si>
  <si>
    <t>ELPRINCIPITO</t>
  </si>
  <si>
    <t>Los buenos modales de Pablo Casado | Kaos en la red</t>
  </si>
  <si>
    <t>https://kaosenlared.net/los-buenos-modales-de-pablo-casado/</t>
  </si>
  <si>
    <t>40 AÑOS D DICTADURA Y 40 D PROPINA, EL INNOMBRABLE LO DEJO TODO BIEN ATADO POR LA GRACIA DE DIOS Y ES QUE DIOS ES MUY GRACIOSO,HACIENDO CONCIENCIA DE IZQUIERDAS</t>
  </si>
  <si>
    <t>JMP 🌌🌍🇪🇺🇪🇸🏠</t>
  </si>
  <si>
    <t>#FelizDomingo #2D #EleccionesAndaluzas2018 Ha dicho Pablo Casado que van a hacer en Andalucía lo mismo que han hecho en España. En éste video, dolores de Cospedal, la mujer que le puso ahí nos cuenta lo que han hecho en España 👇</t>
  </si>
  <si>
    <t>pic.twitter.com/JZvHlH4wtN</t>
  </si>
  <si>
    <t xml:space="preserve">Aquí,siempre,Aquí. </t>
  </si>
  <si>
    <t>Hago cosas y después de hacerlas soy Secretario de comunicación y participación del @psoesantander ⭕ Sin master alguno. El niño de la bici habita en mí.</t>
  </si>
  <si>
    <t>https://www.facebook.com/JMPCAN</t>
  </si>
  <si>
    <t>Luca Piluso</t>
  </si>
  <si>
    <t>Andalucía marcará hoy el futuro de Pedro Sánchez y Pablo Casado</t>
  </si>
  <si>
    <t>https://www.linkedin.com/in/luca-piluso-6714099a</t>
  </si>
  <si>
    <t>Andalucía marcará hoy el futuro de Pedro Sánchez y de Pablo Casado. El Gobierno del PSOE y el líder del PP pasan su primer test en las urnas. Los partidos cierran la campaña andaluza tensionados por el efecto Vox. #LaSilenciosaCat</t>
  </si>
  <si>
    <t>Oscar Mvyor ➰</t>
  </si>
  <si>
    <t>Ellery  🎗</t>
  </si>
  <si>
    <t>Una vaga de fam es una protesta digna i pacífica Per altra banda, en Pablo Casado es un mort de gana RT @pablocasado_: España es un Estado de Derecho donde todos somos iguales ante la ley. Los delitos tienen consecuencias y la justicia actúa con independencia y sin presiones. Nuestra integridad territorial y unidad nacional es innegociable.</t>
  </si>
  <si>
    <t>Linyola,Republica Catalana</t>
  </si>
  <si>
    <t>Nosaltres tenim la pilota, que corrin ells</t>
  </si>
  <si>
    <t>En #elSubjetivo, @albertdepaco responde a Pablo Casado. Porque lo que nuestros inmigrantes deben respetar no es la tradición sino la ley, en un país donde las tradiciones estaban protagonizadas por cabras lanzadas desde el campanario o toros lanceados</t>
  </si>
  <si>
    <t>http://bit.ly/2BEcxU1</t>
  </si>
  <si>
    <t>Andalucía marcará hoy el futuro de Pedro Sánchez y de Pablo Casado #EleccionesAndalucía  vía @elmundoes</t>
  </si>
  <si>
    <t>Abel Arde</t>
  </si>
  <si>
    <t>Non é idiota, o di convencido inda sepa o real do feito, a palabra pode con todo, pero ademáis, a cousa non queda aí, ademáis o ovacionan. Pablo Casado: "El PP es el partido de la honestidad".</t>
  </si>
  <si>
    <t>Lalín, España</t>
  </si>
  <si>
    <t>Bérbansa</t>
  </si>
  <si>
    <t>Agustín Jiménez</t>
  </si>
  <si>
    <t>Pablo Casado en cines!!! RT @superlopezpeli: Julián López está de quitarse el sombrero en #Superlópez, ¿no te lo crees? ¡Ya en cines!</t>
  </si>
  <si>
    <t>https://twitter.com/superlopezpeli/status/1068852213236158465</t>
  </si>
  <si>
    <t>https://pbs.twimg.com/media/DtQbYUEWwAANknz.jpg</t>
  </si>
  <si>
    <t>Antes molabas. No muerdas la mano q te da de comer. Aquí no tienes gracia. Te aburres? Qué mal te tomas mi broma. Vaya cómico! Pide una subvención. Titiritero</t>
  </si>
  <si>
    <t>Manuel Valle</t>
  </si>
  <si>
    <t>Elecciones a la Junta de Andalucía: Pablo Casado y Albert Rivera ya han votado esta mañana en la bonita localidad sevillana de Dos Hermanos. #EleccionesAndalucía</t>
  </si>
  <si>
    <t>España Spain</t>
  </si>
  <si>
    <t>Francisco Cantero</t>
  </si>
  <si>
    <t>Miembro de %ATTAC y Red Renta Básica</t>
  </si>
  <si>
    <t>maria del mar</t>
  </si>
  <si>
    <t>Pablo Casado dice que los inmigrantes vienen a delinquir. Lo dice el líder de un partido que está de mierda hasta las trancas. Es un mamarracho"</t>
  </si>
  <si>
    <t>https://www.facebook.com/mar.sangradorsalan/posts/2470161779677627</t>
  </si>
  <si>
    <t>cantabria</t>
  </si>
  <si>
    <t>Cristina Cosmonauta</t>
  </si>
  <si>
    <t>Ay, que Teresa Rodríguez ha llamado mamarracho a Pablo Casado :____)</t>
  </si>
  <si>
    <t>San Cristóbal de la Laguna</t>
  </si>
  <si>
    <t>Cosmonauta ultraperiférica.</t>
  </si>
  <si>
    <t>Hummmm Pablo Casado,tantas profesiones y CERO DÍAS COTIZADOS?</t>
  </si>
  <si>
    <t>https://pbs.twimg.com/media/DtZhq18X4AEbeMW.jpg</t>
  </si>
  <si>
    <t>Antonio Burgos</t>
  </si>
  <si>
    <t>EL RECUADRO "¿Autonómicas o generales?" Susana no ha tenido enfrente ni a Juanma Moreno ni a Juan Marín, sino a Pablo Casado y a Albert Rivera</t>
  </si>
  <si>
    <t>https://sevilla.abc.es/opinion/sevi-autonomicas-o-generales-201812020724_noticia.html</t>
  </si>
  <si>
    <t>https://pbs.twimg.com/media/DtZfdruWwAAzLwb.jpg</t>
  </si>
  <si>
    <t>Articulista de ABC</t>
  </si>
  <si>
    <t>Cuenta de AB, de la Real Academia Sevillana de Buenas Letras, Hijo Adoptivo de Cádiz, premios Cavia, Luca de Tena y Gzl.Ruano, letrista de Habaneras de Cádiz.</t>
  </si>
  <si>
    <t>https://www.facebook.com/pages/Antonio-Burgos/359705347555122?sk=timeline</t>
  </si>
  <si>
    <t>Pablo Casado "rechaza" el Whatsapp sobre los jueces y cree que no lo escribió Cosidó</t>
  </si>
  <si>
    <t>https://www.huffingtonpost.es/2018/11/22/pablo-casado-rechaza-el-whatsapp-sobre-los-jueces-y-cree-que-no-lo-escribio-cosido_a_23596700/</t>
  </si>
  <si>
    <t>https://pbs.twimg.com/media/DtZdOd6XgAA5VY6.jpg</t>
  </si>
  <si>
    <t>Todos son iguales ante la ley dice Pablo Casado desde la sede de su partido cuya obra se pagó con dinero negro. Y el caso máster ya tal. RT @pablocasado_: España es un Estado de Derecho donde todos somos iguales ante la ley. Los delitos tienen consecuencias y la justicia actúa con independencia y sin presiones. Nuestra integridad territorial y unidad nacional es innegociable.</t>
  </si>
  <si>
    <t>M. R.</t>
  </si>
  <si>
    <t>http://bit.ly/2DW5kQH</t>
  </si>
  <si>
    <t>Tu cerebro también necesita hacer ejercicio, practica el pensamiento crítico</t>
  </si>
  <si>
    <t>Miky</t>
  </si>
  <si>
    <t>Pablo Casado propone que la Loteria de Navidad le toque solo a los ricos</t>
  </si>
  <si>
    <t>https://www.cabronews.com/pablo-casado-propone-que-la-loteria-de-navidad-le-toque-solo-a-los-ricos/</t>
  </si>
  <si>
    <t>Andoain, España</t>
  </si>
  <si>
    <t>Miguel Pérez Pereira or Miguel de Jesús Pérez. Internet nick: Mikytoytoy. (Entrepreneur - Innovator - Gamer - Fighter - Global Observer) :D</t>
  </si>
  <si>
    <t>http://www.facebook.com/mikytoytoy</t>
  </si>
  <si>
    <t>Hoy, en parecidos razonables: Pablo Casado y Albert Rivera se visten exactamente igual el mismo día</t>
  </si>
  <si>
    <t>cansadodetodo</t>
  </si>
  <si>
    <t>Pablo casado huyendo de su pasado🤦‍♂️ @PPopular</t>
  </si>
  <si>
    <t>https://pbs.twimg.com/media/DtZXh6zW0AA4khm.jpg</t>
  </si>
  <si>
    <t>soy pajaro de mal aguero</t>
  </si>
  <si>
    <t>Partido CorruPPto</t>
  </si>
  <si>
    <t>Si tu novio: Es Joven. Liberal. Conservador. Pro familia Católico. Muy español. No tengo ni puta idea de si sales con Pablo Casado o con Albert Rivera. #Adelante2D #FelizDomingo</t>
  </si>
  <si>
    <t>Lanzarote, Islas Canarias</t>
  </si>
  <si>
    <t>Viviendo</t>
  </si>
  <si>
    <t>Andalucía marcará hoy el futuro de Pedro Sánchez y de Pablo Casado @elmundoes</t>
  </si>
  <si>
    <t>El Recuadro "¿Autonómicas o generales?" Susana no ha tenido frente ni a Juanma Moreno ni a Juan Marín, sino a Pablo Casado y a Albert Rivera</t>
  </si>
  <si>
    <t>https://pbs.twimg.com/media/DtZPoCHWsAA0tln.jpg</t>
  </si>
  <si>
    <t>Pepe Martínez</t>
  </si>
  <si>
    <t>Pablo Casado no critica a Vox porque es ir contra el exvotante del PP @lavanguardia</t>
  </si>
  <si>
    <t>http://shr.gs/Uq8FfJh</t>
  </si>
  <si>
    <t>Vivir y dejar vivir.Que la libertad no sea una utopía .Politicamente -heterodoxo. Mi bandera la razón</t>
  </si>
  <si>
    <t>Racle7</t>
  </si>
  <si>
    <t>http://a.msn.com/01/es-es/BBQm5bJ?ocid=st</t>
  </si>
  <si>
    <t>Si apestas a separatista,rojo antipatriota o persona de mal vivir,no te acerques a mi.A veces NO COMPARTO lo que retuiteo.Orgulloso de ser ESPAÑOL.</t>
  </si>
  <si>
    <t>La alucinante coincidencia entre Albert Rivera y Pablo Casado de la que todos están hablando</t>
  </si>
  <si>
    <t>https://www.huffingtonpost.es/2018/11/30/la-alucinante-coincidencia-entre-albert-rivera-y-pablo-casado-de-la-que-todos-estan-hablando_a_23605272/</t>
  </si>
  <si>
    <t>https://pbs.twimg.com/media/DtZF_xxW0AA2W75.jpg</t>
  </si>
  <si>
    <t>Enrique Ayllón</t>
  </si>
  <si>
    <t>Aficionado a la fotografía.</t>
  </si>
  <si>
    <t>https://hdma03.wordpress.com/</t>
  </si>
  <si>
    <t>Toni_Mateu</t>
  </si>
  <si>
    <t>Castellò, Comunitat Valenciana</t>
  </si>
  <si>
    <t>rojo, socialista, ugetista, un poco motero y enamorado de la btt #YoConPedro #SiEsSi #YoVotoAPedro</t>
  </si>
  <si>
    <t>Josep Maria Burgos</t>
  </si>
  <si>
    <t>Me adhiero totalmente a la definición de MAMARRACHO que hace Teresa Rodríguez de Pablo Casado, así como al fondo de su discurso. Pero, si además, le antepongo el epíteto "fascista," queda así de bonito: FASCISTA MAMARRACHO. RT @PabloMM: "Mamarracho" es la palabra perfecta para definir a Pablo Casado.</t>
  </si>
  <si>
    <t>https://twitter.com/PabloMM/status/1068981643199881223</t>
  </si>
  <si>
    <t>pic.twitter.com/lOJUjNKAgn</t>
  </si>
  <si>
    <t>Jorge 🇪🇸🇪🇸🇪🇸</t>
  </si>
  <si>
    <t>Pablo Casado y Santiago Abascal por ahora no hace falta nada más en España.</t>
  </si>
  <si>
    <t>Nacionalista y Español.</t>
  </si>
  <si>
    <t>Pocas veces les ha llamado @TeresaRodr_ lo que son: "mamarrachos". "Pablo Casado dice que los inmigrantes vienen a delinquir. Lo dice el líder de un partido que está de mierda hasta las trancas. Es un mamarracho" 💬 #AdelanteAndalucía</t>
  </si>
  <si>
    <t>pic.twitter.com/ST15Tii0SX</t>
  </si>
  <si>
    <t>http://dlvr.it/Qsc8mD</t>
  </si>
  <si>
    <t>https://pbs.twimg.com/media/DtYLKRoUUAAdpFm.jpg</t>
  </si>
  <si>
    <t>América Hoy</t>
  </si>
  <si>
    <t>http://dlvr.it/Qsc7mY</t>
  </si>
  <si>
    <t>https://pbs.twimg.com/media/DtYI8JwVAAATXQh.jpg</t>
  </si>
  <si>
    <t>Sur de la Florida</t>
  </si>
  <si>
    <t>Aca y ahora, ultimas noticias. Cuando ya conoces las noticias, nosotros te contamos la verdad. Periodico Hispano Lider en el S de la Florida.</t>
  </si>
  <si>
    <t>http://www.americahoy.net</t>
  </si>
  <si>
    <t>https://thenewsatyourfingertips.wordpress.com/2018/12/02/andalucia-marcara-hoy-el-futuro-de-pedro-sanchez-y-de-pablo-casado/</t>
  </si>
  <si>
    <t>Lazslo K.⭐</t>
  </si>
  <si>
    <t>Pablo Casado y Albert Rivera con el mismo chándal</t>
  </si>
  <si>
    <t>De izquierda, feminista, republicano y cordobesista. Marido y padre. Odio eterno al fútbol moderno.</t>
  </si>
  <si>
    <t>https://ift.tt/2Q6W17S</t>
  </si>
  <si>
    <t>lluisbg</t>
  </si>
  <si>
    <t>Pablo Casado dice que todos somos iguales ante la ley, pues tiene mala memoria ya que hace un mes y medio o asi, dijo justo lo contrario</t>
  </si>
  <si>
    <t>Ygnacio Diaz</t>
  </si>
  <si>
    <t>http://bit.ly/2DTdE3D</t>
  </si>
  <si>
    <t>He estado en la feria del vino y daban muestras gratuitas. Si Pablo Casado hubiera bebido la mitad de vinos que he catao yo hoy ya tendría el grado en enología.</t>
  </si>
  <si>
    <t>Laureano Debat</t>
  </si>
  <si>
    <t>Infantino dijo hoy que #Madrid es "un poco Sudamérica". Un antiácido, un Valium y un whisky para calmar los nervios Pablo Casado ya!</t>
  </si>
  <si>
    <t>Pasajero en tránsito perpetuo</t>
  </si>
  <si>
    <t>Periodista cultural, cronista de viajes y escritor. Autor de #BarcelonaInconclusa (Candaya). Colaboro en Anfibia, Ñ (Clarín), Altaïr, CatPlural y Radioacktiva.</t>
  </si>
  <si>
    <t>https://www.instagram.com/laureanodebat</t>
  </si>
  <si>
    <t>Esther P. Pareja</t>
  </si>
  <si>
    <t>http://bit.ly/2zDjljd</t>
  </si>
  <si>
    <t>Estado perpetuo: Viajando 🛄📸🌍. Planificando próximos viajes 😄🤔📚. Escribiendo y revisando fotos de últimos viajes 📱 💻📷</t>
  </si>
  <si>
    <t>PyetroLamarka</t>
  </si>
  <si>
    <t>"Vamos hacer en España lo que hemos hecho en Valencia y Baleares". Pablo Casado: "Vamos a hacer en Andalucía lo que hicimos en España". Luego no digáis que no avisan.</t>
  </si>
  <si>
    <t>Ciudadano del mundo y racista de hijos de puta. Estamos rodeados.</t>
  </si>
  <si>
    <t>No sé, Pdro y Pablo no se parecen como Rivera y Casado, ni en el vestir -iba a ser interesante que un día uno copiara en el otro- ni en las ideas, quizá sólo se parezcan en tapar a gente que no deberían, si bien me pregunto si Pablo quiso decir algo más.</t>
  </si>
  <si>
    <t>Jesús Estrella</t>
  </si>
  <si>
    <t>Pablo Casado se enfrenta mañana en la autonómica Andaluza en su gran prueba de fuego , para seguir al frente del partido Popular . Casado ha desplegado todas sus artillería en esta elecciones por que él y el PP se juegan mucho , ya que si Ciudadanos les de plaza del 2 puesto.....</t>
  </si>
  <si>
    <t>Política y Gobierno, Prensa, Periódicos y TV</t>
  </si>
  <si>
    <t>@r_m_está</t>
  </si>
  <si>
    <t>Al final el único documento verdadero que van a tener los del PP son las imputaciones</t>
  </si>
  <si>
    <t>https://diario6.com/el-jefe-de-prensa-de-pablo-casado-esta-imputado-por-fraude-malversacion-y-trafico-de-influencias/#.W_BL2lxTAWk.twitter</t>
  </si>
  <si>
    <t>Xubilado, preocupado polo presente e o futuro</t>
  </si>
  <si>
    <t>EspanaNoticiasV</t>
  </si>
  <si>
    <t>Las redes vuelven a hablar de otra coincidencia llamativa entre Albert Rivera y Pablo Casado  :Auto pickup by wikyou</t>
  </si>
  <si>
    <t>http://tinyurl.com/y7cqhy7l</t>
  </si>
  <si>
    <t>JAPAN</t>
  </si>
  <si>
    <t>YAHOO! ESPANA NOTICIAS ESPAÑA » España Sucesos MUNDO » Mundo Europa América Latina EE.UU. Oriente próximo Asia Áfica CORAZÓN » Corazón Perfiles destacados DEPO</t>
  </si>
  <si>
    <t>http://wikyou.net/forMA8/</t>
  </si>
  <si>
    <t>Carmen Bonet</t>
  </si>
  <si>
    <t>Pablo Casado: Los desacostumbrados | Opinión | EL PAÍS</t>
  </si>
  <si>
    <t>Socialista. I ❤️ #PSPV i la llengua i cultura de la meua terra. No m'agraden les fronteres. Taurina d’esquerres</t>
  </si>
  <si>
    <t>Aitor Álvarez García</t>
  </si>
  <si>
    <t>Teresa Rodríguez a Pablo Casado: “Nosotros nos parecemos más a cualquier inmigrante que a vosotros”. RT @AdelanteAND: 🗣 "Pablo Casado dice que los inmigrantes vienen a delinquir. Lo dice el líder de un partido que está de mierda hasta las trancas. Es un mamarracho" 💬 @TeresaRodr_ #AdelanteAndalucía</t>
  </si>
  <si>
    <t>Periodista de la SER. Abans, a RAC1, EFE Barcelona, EFE Brasil, EFE Lisboa i elBulliLab. De la UPF. aitor@periodistes.org</t>
  </si>
  <si>
    <t>http://www.cadenaser.com</t>
  </si>
  <si>
    <t>ROSA  ARRANZ GARCIA</t>
  </si>
  <si>
    <t>OPINIÓN | Las mentiras de Pablo Casado sobre la renovación del Poder Judicial y el ‘wasap’ de Cosidó, por Ignacio Escolar  vía @iescolar</t>
  </si>
  <si>
    <t>https://m.eldiario.es/_31fba826</t>
  </si>
  <si>
    <t>OLOMBRADA-SEGOVIA-ESPAÑA</t>
  </si>
  <si>
    <t>Mujer rural convencida y luchadora por la igualdad y la justicia social</t>
  </si>
  <si>
    <t>Angel</t>
  </si>
  <si>
    <t>#L6Nlimiteshumor Paco Marhuenda "la derecha no tiene humoristas" ¿como que no? Yo cada vez que escucho a Pablo Casado o Albert Rivera me parto el ojete...</t>
  </si>
  <si>
    <t>instagram @jaguron</t>
  </si>
  <si>
    <t>Carlos Saenz Eíriz</t>
  </si>
  <si>
    <t>http://bit.ly/2DYK7p0</t>
  </si>
  <si>
    <t>Ingeniero. Defensor de los #DerechosHumanos y la Transparencia. Apuesto x el #MedioAmbiente y las #EnergíasRenovables (Y me opongo totalmente a la #Corrupción)</t>
  </si>
  <si>
    <t>Albert Rivera y Pablo Casado intercambian sus vidas durante una semana y nadie se da cuenta</t>
  </si>
  <si>
    <t>https://www.eljueves.es/news/albert-rivera-y-pablo-casado-intercambian-sus-vidas-durante-semana-y-nadie-se-da-cuenta_2734</t>
  </si>
  <si>
    <t>Manuel peña</t>
  </si>
  <si>
    <t>Claver diciendo lo mismo que pablo casado, casualidad?.no lo creo. Y llama patético a Dani,pero entonces tú que eres hija? #L6Nlímiteshumor</t>
  </si>
  <si>
    <t>Seve</t>
  </si>
  <si>
    <t>El jefe de prensa de Pablo Casado está imputado por fraude, malversación y tráfico de influencias » #StopDerecha</t>
  </si>
  <si>
    <t>https://diario6.com/el-jefe-de-prensa-de-pablo-casado-esta-imputado-por-fraude-malversacion-y-trafico-de-influencias/</t>
  </si>
  <si>
    <t>Palma, Illes Balears</t>
  </si>
  <si>
    <t>Lo peor no es perder..Lo peor es perdernos #Socialista #AntiFascista #SomosLaIzquierda</t>
  </si>
  <si>
    <t>Teresa realmente ha llamado mamarracho a Pablo Casado.</t>
  </si>
  <si>
    <t>pic.twitter.com/GKqpjGJMFd</t>
  </si>
  <si>
    <t>🐝</t>
  </si>
  <si>
    <t>Regaliza</t>
  </si>
  <si>
    <t>Creo que Casado espía a Rivera y se viste igual para llevarse los votos de Rivera. "Hoy, en parecidos razonables: Pablo Casado y Albert Rivera se visten exactamente igual el mismo día -"</t>
  </si>
  <si>
    <t xml:space="preserve">En el mundo de la pintura. </t>
  </si>
  <si>
    <t>No me creo la versión oficial ni la de los medios subvencionados. Contenta de que no gobierne el PPartido PPodrido. Me gustaría ver en la cárcel a esos golfos.</t>
  </si>
  <si>
    <t>"Qué penita", han dicho en redes</t>
  </si>
  <si>
    <t>https://www.huffingtonpost.es/2018/12/01/la-comentada-cobra-de-pablo-casado-al-presidente-del-pp-de-granada_a_23605887/?utm_hp_ref=es-homepage</t>
  </si>
  <si>
    <t>Jose Bolton</t>
  </si>
  <si>
    <t>Siempre que voy a mencionar a Alberto Casado de @Pantomima_Full lo llamo "Pablo Casado". Esto de que dos de las personas más directas y sin tapujos de este país se apelliden igual es un lío.</t>
  </si>
  <si>
    <t>Accionista del R.C. Celta y del Real Murcia. La amarga ironía de una fachada de integridad en un mundo falso. Vivir es devorarse los unos a los otros.</t>
  </si>
  <si>
    <t>mientras levantaba el dedo índice como lo levantaba Aznar en sus mejores tiempos: cuando más pequeñita era su talla política y más grande y deforme su ego</t>
  </si>
  <si>
    <t>https://ctxt.es/es/20181129/Firmas/23175/Pablo-Casado-inmigraci%C3%B3n-Gerardo-Tec%C3%A9-buenos-modales.htm</t>
  </si>
  <si>
    <t>alasombra</t>
  </si>
  <si>
    <t>El acostumbrado FAV se queda corto en este caso. Faveo, comparto y suscribo. Los buenos modales de Pablo Casado | @ctxt_es @gerardotc</t>
  </si>
  <si>
    <t>http://bit.ly/2zAdMC2</t>
  </si>
  <si>
    <t>Cuando me dijeron no sigas, apreté aún más el paso. La Solidaridad es un derecho irrenunciable.</t>
  </si>
  <si>
    <t>https://twitter.com/pablocasado_/status/1068857700581281794</t>
  </si>
  <si>
    <t>https://pbs.twimg.com/media/DtVYaIRWwAY2v7O.jpg</t>
  </si>
  <si>
    <t>verbolsacom</t>
  </si>
  <si>
    <t>Teresa Rodríguez llama ‘mamarracho’ a Pablo Casado</t>
  </si>
  <si>
    <t>https://goo.gl/fb/yV22BL</t>
  </si>
  <si>
    <t>Fundador de Verbolsa</t>
  </si>
  <si>
    <t>http://www.verbolsa.com</t>
  </si>
  <si>
    <t>Sisco Garcia</t>
  </si>
  <si>
    <t>Brutal @TeresaRodr_ dient-li #mamarracho a Pablo Casado RT @SergiAG_: Gallina de piel.</t>
  </si>
  <si>
    <t>En constant evolució. Gnulinuxaire en fase beta. De la Vall d'Uixó però, com va dir un amic, lleidatà d'adopció.</t>
  </si>
  <si>
    <t>http://siscogarcia.wordpress.com/</t>
  </si>
  <si>
    <t>CTXT</t>
  </si>
  <si>
    <t>TECETIPOS / "Como sabe cualquiera menos Pablo Casado, el cómo se deba comportar alguien, el cómo deba usar su libertad individual, lo marca la ley, nunca la opinión de un trilero de los buenos modales." Lean a @gerardotc en CTXT.</t>
  </si>
  <si>
    <t>Revista Contexto y Acción. Periodismo artesano en libertad. SUSCRÍBETE en https://agora.ctxt.es 🧐</t>
  </si>
  <si>
    <t>http://www.ctxt.es</t>
  </si>
  <si>
    <t>Solo Teresa Rodríguez puede llamar "mamarracho" a Pablo Casado y que quede bien RT @AdelanteAND: 🗣 "Pablo Casado dice que los inmigrantes vienen a delinquir. Lo dice el líder de un partido que está de mierda hasta las trancas. Es un mamarracho" 💬 @TeresaRodr_ #AdelanteAndalucía</t>
  </si>
  <si>
    <t>Xamps 3Copas</t>
  </si>
  <si>
    <t>Y después de leerlo, Pablo Casado sufre un desmayo 🙃 RT @latercera: Infantino y la final en el Bernabéu: “Madrid es un poquito Sudamérica”</t>
  </si>
  <si>
    <t>https://twitter.com/latercera/status/1068975658704007170
http://bit.ly/2KKZB1h</t>
  </si>
  <si>
    <t>https://pbs.twimg.com/media/DtXDp12X4AAafxG.jpg</t>
  </si>
  <si>
    <t>Del mejor equipo del mundo y Anti-Real Trampas... Así, o más sencillo?</t>
  </si>
  <si>
    <t>Hay momentos de SuperLópez en los que el Jaime que interpreta @JulianLopez se parece mucho a Pablo Casado.</t>
  </si>
  <si>
    <t>Socio de @CohousingVerde y @coocreando. Ahora, colaboro con @el_gatoverde y presido @SomosSannas. Le doy a todo, pero siempre con sentido del humor y sevillismo</t>
  </si>
  <si>
    <t>http://www.cohousingverde.com</t>
  </si>
  <si>
    <t>Brutal Tot Rodríguez dient-li #mamarracho a Pablo Casado RT @SergiAG_: Gallina de piel.</t>
  </si>
  <si>
    <t>Fernando Abrantes</t>
  </si>
  <si>
    <t>#L6Nestrecho "Pablo Casado se ha remangado y no ha parado de trabajar...". Mira tú....Tendría que haber hecho lo mismo en la carrera y el máster...Pero claro, la carrera y el máster se lo regalaban...Las elecciones andaluzas no...🙃</t>
  </si>
  <si>
    <t>Bajista,cantante,compositor en http://finneymusic.bandcamp.com. Beatles, Smashing Pumpkins,Pixies, Nirvana, Radiohead, MBV...la banda sonora de mi vida.</t>
  </si>
  <si>
    <t>PabloMM</t>
  </si>
  <si>
    <t>"Mamarracho" es la palabra perfecta para definir a Pablo Casado.</t>
  </si>
  <si>
    <t>Gaditano (Spain)</t>
  </si>
  <si>
    <t>En mi hambre mando yo. pablommsb@gmail.com</t>
  </si>
  <si>
    <t>Pasalo y Divulga</t>
  </si>
  <si>
    <t>https://www.instagram.com/pablomm_1/</t>
  </si>
  <si>
    <t>#EleccionesAndaluzas Mañana muchos del PP recordarán: Pablo Casado y las malas compañías @pablocasado_ #Masby ►  vía @JVSantacreu</t>
  </si>
  <si>
    <t>Somos una agencia libre de divulgación de noticias. Si nos sigues, divulgaremos las noticias que nos envies.</t>
  </si>
  <si>
    <t>#Política: Pablo Casado ha aprovechado un acto de la campaña andaluza en Málaga para arremeter contra Pedro Sánchez. Esto fue lo que dijo  vía @mundiario</t>
  </si>
  <si>
    <t>https://www.mundiario.com/articulo/politica/pedro-sanchez-presidente-ilegitimo-lider-pp/20181129223239139256.html</t>
  </si>
  <si>
    <t>Xosé Mª Bello</t>
  </si>
  <si>
    <t>Bueno, Pablo Casado y el Catedrático Buenas Noches Bocachancla, que también pontifica al respecto con la misma base que el primero: sus pocas luces. EN #ARQUEOLOXÍA TAMÉN RT @NotAnAndroid: “Como sabe cualquiera menos Pablo Casado, el cómo se deba comportar alguien, el cómo deba usar su libertad individual, lo marca la ley, nunca la opinión de un trilero de los buenos modales”. @gerardotc en @ctxt_es:</t>
  </si>
  <si>
    <t>https://twitter.com/NotAnAndroid/status/1068962260381548545
https://ctxt.es/es/20181129/Firmas/23175/Pablo-Casado-inmigración-Gerardo-Tecé-buenos-modales.htm</t>
  </si>
  <si>
    <t>http://quotidianum.blogalia.com</t>
  </si>
  <si>
    <t>Mariella*</t>
  </si>
  <si>
    <t>"Un tipo, el de los valores cristianos de Occidente, que se dedica a prejuzgar a cambio de cuatro votos a quienes peor lo pasan en este mundo de dios." Los buenos modales de Pablo Casado | @ctxt_es @gerardotc</t>
  </si>
  <si>
    <t>http://bit.ly/2zDVy2z</t>
  </si>
  <si>
    <t>Vallisoletana de sangre zamorana. Mi madre que es muy lista me hizo Feminista. Persigo con mano de hierro el leísmo y laísmo. No voy a disculparme: soy así.💜💪</t>
  </si>
  <si>
    <t>Pablo Casado dice que su partido va a hacer por Andalucía lo que ha hecho por España. Abro hilo con la encuesta.</t>
  </si>
  <si>
    <t>Pablo Casado aquí ve terrorismo. RT @ciruela_negra: Bruselas, Bélgica ayer.</t>
  </si>
  <si>
    <t>https://twitter.com/ciruela_negra/status/1068797976829747200</t>
  </si>
  <si>
    <t>pic.twitter.com/KnFv42dFIZ</t>
  </si>
  <si>
    <t>elena castaneda</t>
  </si>
  <si>
    <t>La descripción de "mamarracho" sobre Pablo Casado, me parece demasiado suave.</t>
  </si>
  <si>
    <t>Gilberto Betancor</t>
  </si>
  <si>
    <t>¿SERA PABLO CASADO DE  ACTOR EN SUPERLOPEZ? Pues se parece un hu........o</t>
  </si>
  <si>
    <t>http://PP.DE</t>
  </si>
  <si>
    <t>https://pbs.twimg.com/media/DtXCkURW0AAzQaP.jpg</t>
  </si>
  <si>
    <t>Gran Profesional</t>
  </si>
  <si>
    <t>http://todoradio.es</t>
  </si>
  <si>
    <t>Jose Antonio</t>
  </si>
  <si>
    <t>Este señor es pariente de Pablo casado,de ribera,de los de voz,de los independentistas de Cataluña,que para salvar a unos pocos hay que matar a la mayoría, de historia no aprendemos nada.</t>
  </si>
  <si>
    <t>pic.twitter.com/cZ9ULQwnfU</t>
  </si>
  <si>
    <t>Premià de Mar, España</t>
  </si>
  <si>
    <t>Soy d argentina y soy español, Soy perito mercantil,administrati, terapeu ocupacio,telefónica, electricista, pastele,teleoperador, atención al cliente,humanista</t>
  </si>
  <si>
    <t>juanmapechina</t>
  </si>
  <si>
    <t>pechina</t>
  </si>
  <si>
    <t>Alcalde de #pechina desde Mayo 2015 Comprometido con mi pueblo desde donde compatibilizo mi trabajo diario con mi empresa</t>
  </si>
  <si>
    <t>Pablo Casado: "El PP es el partido de la honestidad". Y se lo ha certificado la Universidad Rey Juan Carlos  vía @La_SER</t>
  </si>
  <si>
    <t>Astur - Juanjo</t>
  </si>
  <si>
    <t>El vídeo de Pablo Casado que ejemplifica a la perfección qué es el populismo punitivo</t>
  </si>
  <si>
    <t xml:space="preserve">Asturies </t>
  </si>
  <si>
    <t>Por la justicia social, creo en la lucha de clases, combatiendo al neofeudalismo y al nacionalcatolicismo</t>
  </si>
  <si>
    <t>http://ccoojusticiasturias.blogspot.com</t>
  </si>
  <si>
    <t>TIENES RAZON PABLO, YA NO SABEN QUE ARGUMENTAR PARA LLAMAR LA ATENCIÓN...LES TENGO UN ASQUITO HORRIBLE... Casado contra la huelga de hambre: "Los delitos tienen consecuencias, la unidad nacional es innegociable"  vía @elespanolcom</t>
  </si>
  <si>
    <t>https://www.elespanol.com/espana/20181201/casado-huelga-hambre-delitos-consecuencias-nacional-innegociable/357465190_0.html</t>
  </si>
  <si>
    <t>https://www.meneame.net/story/buenos-modales-pablo-casado</t>
  </si>
  <si>
    <t>Vöskov 🤘🚴‍♂️</t>
  </si>
  <si>
    <t>Si tu novio: - Ha estudiado Derecho. - No le gusta el amarillo. - Pasea banderas. - Es un incendiario. - Viste camisa blanca, americana y chaleco granate. No es tu novio, es Pablo Casado... bueno, o Albert Rivera.</t>
  </si>
  <si>
    <t>Aldeano (País Valencià)</t>
  </si>
  <si>
    <t>Dels Vöskov de les aldees centrals del País Valencià, parit al 83, culé, del secà i la Mediterrània (tot és possible al meu país). Fart d´ofrenar noves glòries.</t>
  </si>
  <si>
    <t>https://bit.ly/2KKq1DR</t>
  </si>
  <si>
    <t>cacahuetefeliz</t>
  </si>
  <si>
    <t>https://ctxt.es/es/20181129/Firmas/23175/Pablo-Casado-inmigración-Gerardo-Tecé-buenos-modales.htm</t>
  </si>
  <si>
    <t>LaVero</t>
  </si>
  <si>
    <t>Entonces el titulo de Mister de Asraf es igual que el Máster de Pablo Casado?? #SomosLaAudiencia1D</t>
  </si>
  <si>
    <t>Una banderita en la correa del reloj no te hace buen patriota. Perogrullo.</t>
  </si>
  <si>
    <t>Manuel Gómez</t>
  </si>
  <si>
    <t>Un tipo que exige que los inmigrantes madruguen, incapaz de aprobar la carrera hasta que entró en política</t>
  </si>
  <si>
    <t>http://bit.ly/2zvevEH</t>
  </si>
  <si>
    <t>Médico comprometido con la Sanidad Pública. Sec. Sanidad Ejecutiva @PSOE_Elx</t>
  </si>
  <si>
    <t>Menéame noticias</t>
  </si>
  <si>
    <t>http://www.meneame.net/story/buenos-modales-pablo-casado</t>
  </si>
  <si>
    <t>https://pbs.twimg.com/media/DtW7lfvXcAEUEyG.jpg</t>
  </si>
  <si>
    <t>Menéame (oficial). Promoción social de noticias. Cuenta que sólo publica las noticias que llegan a portada.</t>
  </si>
  <si>
    <t>http://meneame.net</t>
  </si>
  <si>
    <t>VictoriaUve</t>
  </si>
  <si>
    <t>Qué callados han estado hoy Albert Rivera y Pablo Casado. Se nota que es jornada de reflexión...</t>
  </si>
  <si>
    <t>https://pbs.twimg.com/media/DtW68aoXcAInlRs.jpg</t>
  </si>
  <si>
    <t>Víctor Regidor</t>
  </si>
  <si>
    <t>“Como sabe cualquiera menos Pablo Casado, el cómo se deba comportar alguien, el cómo deba usar su libertad individual, lo marca la ley, nunca la opinión de un trilero de los buenos modales”. @gerardotc en @ctxt_es:</t>
  </si>
  <si>
    <t>Paranoid. Periodista que intenta saber algo de música, y disfrutarla. Comunicando la banca ética. Mandarina Magazine.</t>
  </si>
  <si>
    <t>http://www.mandarinamagazine.net</t>
  </si>
  <si>
    <t>Nazareno</t>
  </si>
  <si>
    <t>Pablo Casado, presidente del PP, en el que, de ahora en adelante se le conocerá cómo " EL MAMARRACHO "</t>
  </si>
  <si>
    <t>pic.twitter.com/sODABPIHlX</t>
  </si>
  <si>
    <t>En el mejor sitio</t>
  </si>
  <si>
    <t>No quiero un florero, quiero a un Jefe del Estado sometido a las voluntad de las urnas. C.C.O.O. Aficionado a la fotografía.</t>
  </si>
  <si>
    <t>sumsi</t>
  </si>
  <si>
    <t>Són clons mentals i ara a més es vesteixen iguals, votar un o altra tant fa, escampen igual de merda Hoy, en parecidos razonables: Pablo Casado y Albert Rivera se visten exactamente igual el mismo día -</t>
  </si>
  <si>
    <t>APRENENT a tota hora; feminista, ecologista, animalista, sobiranista independentista Pro Kurdistan, Palestina i Catalunya. Desig un món més just i empàtic</t>
  </si>
  <si>
    <t>DiletanteLópez</t>
  </si>
  <si>
    <t>tenerife</t>
  </si>
  <si>
    <t>KIKO LOPEZ</t>
  </si>
  <si>
    <t>Le reprochaban a Pablo Casado el haber puesto toda la carne en el asador en una cita tan arriesgada como las elecciones andaluzas. "Nada que ganar, mucho que perder", se le...</t>
  </si>
  <si>
    <t>https://www.vozpopuli.com/politica/razones-Casado-saldra-vivo-elecciones-Andalucia_0_1195680638.html</t>
  </si>
  <si>
    <t>Javi Gil</t>
  </si>
  <si>
    <t>Para los que no seáis de Andalucía y estéis algo perdidos con las elecciones, os confirmamos que sí, hay un candidato del PP, y no, no es Pablo Casado. Ya aparecerá.</t>
  </si>
  <si>
    <t>Diseñador de producto en @geographica_gs</t>
  </si>
  <si>
    <t>https://www.instagram.com/javigild/</t>
  </si>
  <si>
    <t>Una vision suarista y aznarista sobre la necesidad de un Pablo Casado con Gantt Chart y Time Management en el mundo P2P 4.0 de European Leadership</t>
  </si>
  <si>
    <t>https://www.linkedin.com/pulse/una-vision-suarista-y-aznarista-sobre-la-necesidad-de-jorge-zuazola/</t>
  </si>
  <si>
    <t>Malú</t>
  </si>
  <si>
    <t>Las redes vuelven a hablar de otra coincidencia llamativa entre Albert Rivera y Pablo Casado</t>
  </si>
  <si>
    <t>https://es.yahoo.com/noticias/alucinante-coincidencia-albert-rivera-pablo-124600399.html</t>
  </si>
  <si>
    <t>Intento comunicarme con la gente que tiene buenas ideas y aprender de ellas, mucha gente sabia,¡¡¡Viva la Gente!!!</t>
  </si>
  <si>
    <t>Daniel Senderos</t>
  </si>
  <si>
    <t>Casi nada. El jefe de prensa de Pablo Casado está imputado por fraude, malversación y tráfico de influencias »</t>
  </si>
  <si>
    <t>Alava - Euskadi</t>
  </si>
  <si>
    <t>Otro #planeta es posible. Hacia la #TransiciónEnergética y la #EconomíaCircular. Preocupado por el #MedioAmbiente y la #energía. Otra #Europa es posible.</t>
  </si>
  <si>
    <t>http://www.iagua.es/blogs/daniel-senderos</t>
  </si>
  <si>
    <t>Ekaitz Cancela</t>
  </si>
  <si>
    <t>Noche de imágenes con fuerte carácter expresivo: siempre puede haber algo peor que Pablo Casado. ¡Don't be evil, neocons!</t>
  </si>
  <si>
    <t>https://pbs.twimg.com/media/DtWnnGEWkAAPegJ.jpg</t>
  </si>
  <si>
    <t>Xavier Fuentes Tafal</t>
  </si>
  <si>
    <t>Rafael_F</t>
  </si>
  <si>
    <t>Un tipo, el de los valores cristianos de Occidente, que se dedica a prejuzgar a cambio de cuatro votos a quienes peor lo pasan en este mundo de dios. @ctxt_es @gerardotc</t>
  </si>
  <si>
    <t>http://bit.ly/2zE8o0G</t>
  </si>
  <si>
    <t xml:space="preserve">Ciudad Rodrigo </t>
  </si>
  <si>
    <t>Historiador. Escritor aficionado. Interesado por la política, la economía y todo lo humano.</t>
  </si>
  <si>
    <t>http://rafaelfiglesias.wordpress.com/</t>
  </si>
  <si>
    <t>Gente en ABC</t>
  </si>
  <si>
    <t>Albert Rivera y Pablo Casado eligen el mismo «uniforme» para cerrar la campaña</t>
  </si>
  <si>
    <t>http://gente.abc.es/9cmbm4</t>
  </si>
  <si>
    <t>Noticias de la secciones Estilo, Gente y Moda de @abc_es. Noticias sobre tendencias, casas reales, personajes y las celebridades más famosas de Twitter</t>
  </si>
  <si>
    <t>http://www.abc.es/estilo</t>
  </si>
  <si>
    <t>http://cadenaser.com/ser/2018/11/30/politica/1543613809_281010.html</t>
  </si>
  <si>
    <t>🌈Carlos🌈</t>
  </si>
  <si>
    <t>Teresa Rodríguez diciéndole al manqué de Pablo Casado “MAMARRACHO” es mi regalo de Navidad.</t>
  </si>
  <si>
    <t>Donde el viento da la vuelta</t>
  </si>
  <si>
    <t>I'm so emotional, baby.</t>
  </si>
  <si>
    <t>¡Ni lo sueñes! Pablo Casado: "Vamos a hacer en Andalucía lo que hicimos en España"  vía @RadioCordobaSER #StopDerecha</t>
  </si>
  <si>
    <t>Tanto monta, monta tanto...  vía @ABC_gente</t>
  </si>
  <si>
    <t>https://www.abc.es/estilo/moda/abci-albert-rivera-y-pablo-casado-eligen-mismo-uniforme-para-cerrar-campana-201811301848_noticia.html#ns_campaign=rrss-inducido&amp;ns_mchannel=undefined&amp;ns_source=tw&amp;ns_linkname=undefined&amp;ns_fee=0</t>
  </si>
  <si>
    <t>Juan Antonio Páez</t>
  </si>
  <si>
    <t>Lo de Albert Rivera y Pablo Casado ya lo predijo Futurama</t>
  </si>
  <si>
    <t>http://feedproxy.google.com/~r/finofilipino/cdiM/~3/Esh8qV4kUF4/</t>
  </si>
  <si>
    <t>Sevilla y alrededores.</t>
  </si>
  <si>
    <t>Geek, deportista, gamer, aficionado a los documentales y la naturaleza. Un tipo culto y apañado. También escribo para twitter, y no me disgusta leer.</t>
  </si>
  <si>
    <t>http://about.me/juananpaez</t>
  </si>
  <si>
    <t>BeaIzuel</t>
  </si>
  <si>
    <t>Teresa Rodríguez a Pablo Casado: "lavaros la boca antes de hablar de los trabajadores y trabajadoras de cualquier parte del mundo" Muy grande.</t>
  </si>
  <si>
    <t>Mayday</t>
  </si>
  <si>
    <t>We didn't lose. We just haven't won yet Alias Grace M. Atwood</t>
  </si>
  <si>
    <t>¡¡OJO AL DATO¡¡ Y AGUANTEN LA RISA. SER.- Pablo Casado: "El PP es el partido de la honestidad" Ni Gürtel, ni operación Kitchen... Nada de eso va a fastidiar el discurso del líder del PP en los próximos meses.</t>
  </si>
  <si>
    <t>Pere</t>
  </si>
  <si>
    <t>Es que todos ellos son lo mismo, PP, VOX, C's y PSOE, todos buscan lo mismo, vivir del cuento 'Financial Times' destaca el seguidismo que hace Pablo Casado de Vox vía @elnacionalcat_e</t>
  </si>
  <si>
    <t>https://goo.gl/bu8faa</t>
  </si>
  <si>
    <t>🚊Si vols saber un secret, no ho diguis</t>
  </si>
  <si>
    <t>El buscador de ideas ⚽🔻🌈</t>
  </si>
  <si>
    <t>Mirad esta noticia: el FC Barcelona tiene el salario medio más alto de todo el deporte mundial, mientras Pablo Casado, Albert Rivera y Santiago Abascal se niegan a aumentar el salario mínimo interprofesional. Noticia:</t>
  </si>
  <si>
    <t>https://www.grandesmedios.com/barcelona-salario-medio-mas-alto/</t>
  </si>
  <si>
    <t>Valladolid, España</t>
  </si>
  <si>
    <t>Aliado del feminismo y de los LGTBQI+, anticapitalista, antifascista, amante de la ciencia, la cultura y de ver fútbol y otros deportes de calidad.</t>
  </si>
  <si>
    <t>Manuel Gómez Recio</t>
  </si>
  <si>
    <t>El vídeo de Pablo Casado que ejemplifica qué es el populismo punitivo -  https%3A%2F%%2Ftremending%2F2018%2F11%2F29%2Felecciones-andalucia-2018-el-video-de-pablo-casado-que-ejemplifica-a-la-perfeccion-que-es-el-populismo-punitivo%2F</t>
  </si>
  <si>
    <t>Nunca me rindo... Soy rojo y del atleti...y solo me pringo por lo público.</t>
  </si>
  <si>
    <t>Leonardo Da Vence</t>
  </si>
  <si>
    <t>Si Pablo Motos es Humorista,Ana Rosa Quintana Periodista,Pablo Casado Político,Sánchez Drago Escritor,Marta Sánchez cantante y Belén Esteban Tertuliana... ¿Quien no se va a sentir Orgulloso de ser Español?</t>
  </si>
  <si>
    <t>Soy un Español,Independentista por Astio y Cule, perdido por el mundo. Si sigues los pasos del Rebaño, te hundes en sus http://huellas.De Izquierdas y Republicano.</t>
  </si>
  <si>
    <t>Jose López Pérez</t>
  </si>
  <si>
    <t>Esta es la España que quieren Pablo Casado, Albert Rivera y compañía. La de la dictadura. Quieren llevar a las clases medias y obreras al averno. Lo decía claro Rubén Blades en su canción "Para los pobres el cielo y para los ricos la tierra" RT @urquialacarra: ✒️ Lean a Juan Fernández.</t>
  </si>
  <si>
    <t>https://twitter.com/urquialacarra/status/1068809979333931009
https://twitter.com/elperiodico/status/1068806915793321984</t>
  </si>
  <si>
    <t>Editor de http://nosolocine.net, escritor y cineasta</t>
  </si>
  <si>
    <t>http://nosolocine.net</t>
  </si>
  <si>
    <t>Pablo Casado, presidente del PP: "Vamos a hacer en Andalucía lo que hicimos en España". Buena carta de presentación, luego no entienden porque siempre gana la izquierda en Andalucía. Parece que los que llevan dos cursos de retraso son ellos.</t>
  </si>
  <si>
    <t>🔴 #ACTUALIDAD - #POLÍTICA | PSOE asegura que "la palabra pacto para Núñez (PP) vale lo que un tuit de Pablo Casado" 👇  vía @24clm</t>
  </si>
  <si>
    <t>https://www.clm24.es/articulo/actualidad/psoe-asegura-palabra-pacto-nunez-pp-vale-tuit-pablo-casado/20181201182121227664.html</t>
  </si>
  <si>
    <t>https://pbs.twimg.com/media/DtWU9E2WwAIzhVB.jpg</t>
  </si>
  <si>
    <t>S Moda</t>
  </si>
  <si>
    <t>"No merece la pena que Pablo Casado lea mi libro. Esto es para gente capaz de empatizar”.</t>
  </si>
  <si>
    <t>https://smoda.elpais.com/feminismo/la-pesadilla-de-impedir-el-aborto-a-las-mujeres-es-el-mejor-fotolibro-del-ano/?id_externo_rsoc=TW_CM_SM</t>
  </si>
  <si>
    <t>La revista femenina de EL PAÍS. Cada tercer sábado de mes, con el diario de papel. Cada día, en nuestra web.</t>
  </si>
  <si>
    <t>http://smoda.elpais.com/</t>
  </si>
  <si>
    <t>ALFONSO</t>
  </si>
  <si>
    <t>A Pablo Casado le quitas las asignaturas de derecho que le aprobaron de remanguillé, el máster de Harvard q se sacó en Aravaca y ese otro máster donde le convalidaron hasta las horas de recreo, y lo q te queda es un voluntarioso becario d un fondo buitre o chiringuito financiero.</t>
  </si>
  <si>
    <t>MD, no, gracias.</t>
  </si>
  <si>
    <t>Estoy en esa edad tan peligrosa en la que el cigarrillo de después siempre me lo fumo antes, por si acaso.</t>
  </si>
  <si>
    <t>http://t52m.blogspot.com.es</t>
  </si>
  <si>
    <t>Sir Edward Vernon 🇪🇸🏴󠁧󠁢󠁳󠁣󠁴󠁿🇮🇪🇪🇺</t>
  </si>
  <si>
    <t>Pablo Casado propone convertir Cádiz en un oasis fiscal  vía @elmundoes</t>
  </si>
  <si>
    <t>https://www.elmundo.es/espana/2018/12/01/5c01b033fc6c8300438b46f5.html</t>
  </si>
  <si>
    <t>Almirante coctelero inglés. Logré ser uno de los hijos predilectos de la pérfida Albión. Ahora vendo tabaco barato, inversiones opacas, apuestas, monedas y tal</t>
  </si>
  <si>
    <t>Filosofía Perdida</t>
  </si>
  <si>
    <t>¿Recordáis cuando Pablo Cazado pedía bombardear a civiles y se reía de quienes pedíamos ayudar a refugiad@s en vez de tirarles bombas? Pues yo os lo recuerdo.</t>
  </si>
  <si>
    <t>https://m.eldiario.es/politica/Casado-irresponsable-bombardeos-buenismo-izquierda_0_455654529.html</t>
  </si>
  <si>
    <t>Jerusalen, Palestina</t>
  </si>
  <si>
    <t>Actualidad y política desde la resistencia con humor</t>
  </si>
  <si>
    <t>Manolo Breñas</t>
  </si>
  <si>
    <t>https://pbs.twimg.com/media/DtWNGL-XoAA-p5a.jpg</t>
  </si>
  <si>
    <t>Vitoria-Gasteiz, País Vasco</t>
  </si>
  <si>
    <t>Irakasle oso gorria kolore polita da eta.Poesia politika animaliak eta musika ere interesatzen zaizkit.</t>
  </si>
  <si>
    <t>Hijo dEnrique Añino ilzarbe dAndueza Sdad Sevilla Balompié, directivo varios presidentes Balompié Betis Real_idad Centenaria y artífice Escudo 1931-1932.</t>
  </si>
  <si>
    <t>El currito</t>
  </si>
  <si>
    <t>Pablo Casado, el Partido Popular, vino a Andalucía a decir que los inmigrantes que se ahogan en el mar de Alborán, que se ahogan en las pateras; tienen que aprender costumbres antes de poner venir a poner un pie aquí.... RT @AdelanteAND: 🗣 "Pablo Casado dice que los inmigrantes vienen a delinquir. Lo dice el líder de un partido que está de mierda hasta las trancas. Es un mamarracho" 💬 @TeresaRodr_ #AdelanteAndalucía</t>
  </si>
  <si>
    <t>https://twitter.com/twitter/statuses/1068605225370562560</t>
  </si>
  <si>
    <t>Buñol</t>
  </si>
  <si>
    <t>Naci en Buñol 7-3-1952, Policia Municipal desde 1-1-1980, hoy restaurando la democracia en Buñol, se ha impuesto una IGNOMINIA al pueblo que hay que quitar...</t>
  </si>
  <si>
    <t>https://www.facebook.com/pages/El-currito-y-su-almohada/698512856891162</t>
  </si>
  <si>
    <t>Filósofadepacotilla</t>
  </si>
  <si>
    <t>https://www.publico.es/tremending/2018/11/30/hoy-en-parecidos-razonables-pablo-casado-y-albert-rivera-se-visten-exactamente-igual-el-mismo-dia/?utm_source=facebook&amp;utm_medium=social&amp;utm_campaign=tremending</t>
  </si>
  <si>
    <t>🤔 Filosofa que algo queda 🤔</t>
  </si>
  <si>
    <t>https://www.instagram.com/silviafilosofadepacotilla/</t>
  </si>
  <si>
    <t>Mejor que Bisbal a Chenoa</t>
  </si>
  <si>
    <t>https://www.huffingtonpost.es/2018/12/01/la-comentada-cobra-de-pablo-casado-al-presidente-del-pp-de-granada_a_23605887/</t>
  </si>
  <si>
    <t>Lupicinio Iñiguez-Rueda</t>
  </si>
  <si>
    <t>Los buenos modales de Pablo Casado |</t>
  </si>
  <si>
    <t>http://ctxt.es
https://ctxt.es/es/20181129/Firmas/23175/Pablo-Casado-inmigraci%C3%B3n-Gerardo-Tec%C3%A9-buenos-modales.htm</t>
  </si>
  <si>
    <t>Profesor de Psicologia Social. Departament de Psicologia Social. Universitat Autònoma de Barcelona</t>
  </si>
  <si>
    <t>https://www.researchgate.net/profile/Lupicinio_Iniguez-Rueda</t>
  </si>
  <si>
    <t>Ricardo Bañol</t>
  </si>
  <si>
    <t>...pequeñito de talla, grande de ego...muy buen punto de vista...</t>
  </si>
  <si>
    <t>head full of dreams</t>
  </si>
  <si>
    <t>Pablo Casado considera que el Holocausto también fue un hito de la humanidad | @scoopit</t>
  </si>
  <si>
    <t>https://www.eljueves.es/news/pablo-casado-considera-que-holocausto-tambien-fue-hito-humanidad_2863?utm_medium=social&amp;utm_source=twitter</t>
  </si>
  <si>
    <t>COLDPLAY</t>
  </si>
  <si>
    <t>De Roma a Berlin pasando por Londres y París</t>
  </si>
  <si>
    <t>jmtraductor</t>
  </si>
  <si>
    <t>Puede que el PP no sea tan malo y nos hayamos pasado de la raya, pero decir que el PP es el partido de la honestidad, como dijo ayer Pablo Casado en Andalucía, es para que te dé un accidente cerebrovascular de la risa.</t>
  </si>
  <si>
    <t>Juan Manuel Martín Arias. Traductor científico-técnico. EN-ES, ES-EN, FR-ES</t>
  </si>
  <si>
    <t>http://cort.as/3lzA</t>
  </si>
  <si>
    <t>Oscar Muñoz Lozano</t>
  </si>
  <si>
    <t>George Lucas tenía razón, el ataque de los clones es real...</t>
  </si>
  <si>
    <t>https://www.abc.es/estilo/moda/abci-albert-rivera-y-pablo-casado-eligen-mismo-uniforme-para-cerrar-campana-201811301848_noticia.html</t>
  </si>
  <si>
    <t>Devorador y narrador de historias, one man band, solucionador, conector, grafista ocasional, y, sobre todo, padre de mellizos...</t>
  </si>
  <si>
    <t>La 'cobra' de Pablo Casado al presidente del PP de Granada durante un mitin</t>
  </si>
  <si>
    <t>Pablo Casado, el Partido Popular, vino a Andalucía a decir que los inmigrantes que se ahogan en el mar de Alborán, que se ahogan en las pateras; tienen que aprender costumbres antes de poner venir a...</t>
  </si>
  <si>
    <t>https://www.facebook.com/ElcurritoSalvadorTelloAlapont/posts/1971333119609123</t>
  </si>
  <si>
    <t>EuropaPress Baleares</t>
  </si>
  <si>
    <t>Viajarán a Madrid este lunes, 3 de diciembre, para reunirse con el Comité Ejecutivo de Pablo Casado en la sede del partido @ppbalears</t>
  </si>
  <si>
    <t>https://twitter.com/PPopular/status/1068519586956361730</t>
  </si>
  <si>
    <t>https://pbs.twimg.com/media/DtQk5o1VsAAHgW6.jpg</t>
  </si>
  <si>
    <t>https://www.europapress.es/illes-balears/noticia-biel-company-toni-fuster-marga-prohens-asisten-lunes-comite-ejecutivo-nacional-pp-madrid-20181201170239.html</t>
  </si>
  <si>
    <t>Twitter oficial de la agencia de noticias Europa Press en Islas Baleares</t>
  </si>
  <si>
    <t>http://www.europapress.es/illes-balears/</t>
  </si>
  <si>
    <t>SALVADOR SANCHEZ VIL</t>
  </si>
  <si>
    <t>La Universidad Rey Juan Carlos contrata como profesor a Pablo Casado  vía @eljueves</t>
  </si>
  <si>
    <t>https://www.eljueves.es/news/universidad-rey-juan-carlos-contrata-como-profesor-a-pablo-casado_2968</t>
  </si>
  <si>
    <t>***SALAMANCA***</t>
  </si>
  <si>
    <t>CRITICAME CUANDO TU SEAS PERFECTO * * * #UnidosPodemos #TeamUnidos</t>
  </si>
  <si>
    <t>Esta FEMINISTA, que roza casi el HEMBRISMO, tenía que soltar su odio por algún sitio, esas declaraciones son las típicas de Pablo Echenique y de PODEMOS. Que has querido decir Carmen Calvo?. Que Casado y Rivera son Gays? Le teneis miedo a Vox? Y porque no a BILDU? O a Otegui?</t>
  </si>
  <si>
    <t>pic.twitter.com/ADcZEPpaU8</t>
  </si>
  <si>
    <t>https://ift.tt/2E98fX8
https://ift.tt/2zCrB37</t>
  </si>
  <si>
    <t>https://pbs.twimg.com/media/DtV4VYtWoAE37kw.jpg</t>
  </si>
  <si>
    <t>Con pocas expectativas es más fácil sorprenderse</t>
  </si>
  <si>
    <t>http://cyberpotatoe.blogspot.com.es/</t>
  </si>
  <si>
    <t>'Somos el Partido de la Honestidad'' Pablo Casado. Cierre de Campaña de Elecciones Andaluzas. Es que sólo me salen barbaridades para comentar esto, mejor me callo, ya se descalifica el solo… #EleccionesAndaluzas</t>
  </si>
  <si>
    <t>Qué listos son: Pablo Casado y Albert Rivera se han camuflado para que no se sepa cuál es el del Máster y cual el del Doctorando.</t>
  </si>
  <si>
    <t>José Castro</t>
  </si>
  <si>
    <t>Hasta los cojones de la organización criminal: POLÍTICA-ECONÓMICA-MEDIÁTICA. Causantes de muchísimos males que ocurren en nuestras sociedades. MISERABLES-HDLGP.</t>
  </si>
  <si>
    <t>Pablo Casado se dirige a los que no pueden oírle para convencer a idiotas que sí pueden oírle.</t>
  </si>
  <si>
    <t>David Level</t>
  </si>
  <si>
    <t>Pablo Casado, Kid Keo y Alvaro Ojeda puede ser ahora mismo mi top 3 en personas que odio</t>
  </si>
  <si>
    <t>Jere-Malaga</t>
  </si>
  <si>
    <t>No estaba muerto estaba de espixe. http://youtu.be/9DNEH9qE7bs</t>
  </si>
  <si>
    <t>Salvador Oitavén</t>
  </si>
  <si>
    <t>'Nosotrxs nos parecemos más a cualquier inmigangrante que a ningunx de vosotxs, mamarrachxs!!!'' @TeresaRodr_ a Pablo Casado. En dúas palabras desde Galiza: ADELANTE ANDALUCÍA 💚⚪️💚 RT @AdelanteAND: 🗣 "Pablo Casado dice que los inmigrantes vienen a delinquir. Lo dice el líder de un partido que está de mierda hasta las trancas. Es un mamarracho" 💬 @TeresaRodr_ #AdelanteAndalucía</t>
  </si>
  <si>
    <t>Confórtame saber que teño máis filias que fobias! 🏳️‍🌈</t>
  </si>
  <si>
    <t>DivulgaMadrid</t>
  </si>
  <si>
    <t>Para el que tenga problemas para entender el concepto físico de ruptura espontánea de simetría: Imagina que eres de derechas. Aunque la naturaleza les ha hecho a los dos iguales, no te dejan votar a más de uno.</t>
  </si>
  <si>
    <t>https://www.eljueves.es/news/albert-rivera-y-pablo-casado-intercambian-sus-vidas-durante-semana-y-nadie-se-da-cuenta_2734/amp?__twitter_impression=true</t>
  </si>
  <si>
    <t>Enseñanza y divulgación científica en la Comunidad de Madrid</t>
  </si>
  <si>
    <t>http://divulgamadrid.blogspot.com.es/</t>
  </si>
  <si>
    <t>RTM</t>
  </si>
  <si>
    <t>Pablo Casado amenaza con extender la Gurtel a Andalucía si llegaran a gobernar en ésta Autonomía RT @La_SER: Pablo Casado: "Vamos a hacer en Andalucía lo que hicimos en España"</t>
  </si>
  <si>
    <t>PSOE. ALCALA. Ingeniero. Direccion. Industrial en ROCKWELL-SKF do Brasil -CON AGRA FOOD - BIOTER BIONA SAPROGAL- GRUPO TEMA.</t>
  </si>
  <si>
    <t>Diego Paños</t>
  </si>
  <si>
    <t>¿El caso Orange Market? ¿La faz de cemento armado de Pablo Casado? RT @PPopular: Rojo por dentro. Naranja por fuera. ¿Te suena? Que no te engañen. #VotaGarantíadeCambio</t>
  </si>
  <si>
    <t>Pamplona, Navarra, España</t>
  </si>
  <si>
    <t>Ciudadano. Abogado. Corruptio optimi pessima.</t>
  </si>
  <si>
    <t>http://tutambienerespolitico.blogspot.com.es/</t>
  </si>
  <si>
    <t>M. Rolle🔻🏳️‍🌈 \( •_•)_☭╰☆╮️</t>
  </si>
  <si>
    <t>Hoxe soñei que Pablo Casado acababa de conductor de autobús e uns rapaces empezaban a vacilalo e eu acababa defendendoi. Se é que son moi boa persoa.</t>
  </si>
  <si>
    <t>Galiza/Marte/Faluya/Ultramemia</t>
  </si>
  <si>
    <t>Irmandiño, antifa e techie. Bi. Palestino al cuello, gasolina y mechero. Denantes mortos ca escravos. No pasarán. Afouteza, Marxismo e lume ao cacique. @UJCE</t>
  </si>
  <si>
    <t>https://ca.wikipedia.org/wiki/Sant_Esteve_de_les_Roures</t>
  </si>
  <si>
    <t>"Clarísima falta en ataque", han bromeado en redes</t>
  </si>
  <si>
    <t>Pernath I 🇪🇸</t>
  </si>
  <si>
    <t>Ya verás como a los socialistas les parece mal. Pablo Casado propone convertir Cádiz en un oasis fiscal  vía @elmundoes</t>
  </si>
  <si>
    <t>España no se merece a los políticos que se merece.🇪🇸 El socialismo te lo metes por el orto 👉👌</t>
  </si>
  <si>
    <t>Yo me daba con un canto en los dientes si al frente de la nación española estuviesen Pablo Casado o Albert Rivera. Santiago Abascal tan válido como cualquiera de los dos anteriores. Las derechas tienen que estar unidas si no quieren que nos pase como en Venezuela. RT @alFranceschi: Mañana Andalucía vota y entra en juego con fuerza la nueva derecha con VOX el partido de nuestro amigo Santiago Abascal quien más temprano que tarde va a dirigir la nación española, asediada hoy por los separatistas catanazis y por el comunismo chavista de Podemos VIVA ESPAÑA</t>
  </si>
  <si>
    <t>https://twitter.com/alFranceschi/status/1068739318896885760</t>
  </si>
  <si>
    <t>Oscar🎗</t>
  </si>
  <si>
    <t>Espectacular @TeresaRodr_ sobre el mamarracho de Pablo Casado. RT @AdelanteAND: 🗣 "Pablo Casado dice que los inmigrantes vienen a delinquir. Lo dice el líder de un partido que está de mierda hasta las trancas. Es un mamarracho" 💬 @TeresaRodr_ #AdelanteAndalucía</t>
  </si>
  <si>
    <t>Técnico en Cuidados Auxiliares de Enfermería, opositor y quijote. Todo lo que siempre has querido está al otro lado del miedo... Instagram oscar.dobe1</t>
  </si>
  <si>
    <t>"¡Penalti y expulsión!", han bromeado en redes</t>
  </si>
  <si>
    <t>Tochas</t>
  </si>
  <si>
    <t>Lo que esta pasando en Francia para Pablo casado debe ser directamente una guerra civil entre 4 antisistema y todos los frances (la policia)</t>
  </si>
  <si>
    <t>Nacido en el 23 A.M.B (Antes Manuel Bartual)</t>
  </si>
  <si>
    <t>No soy de aquí</t>
  </si>
  <si>
    <t>Telde, España</t>
  </si>
  <si>
    <t>Medio migrante, medio sudaca, medio Canario. muy Uruguayo, mi cabeza zurda es culpa de Galeano. No me mandes a mi país, soy de donde estoy. y no te hago caso</t>
  </si>
  <si>
    <t>VsV</t>
  </si>
  <si>
    <t>¡Dinos una cosa que odias y una que amas! — Amo: heavy metal, videojuegos, libros, a alguien. Odio a Pablo Casado, nazis, vox, homofobicos, racistas, machistas, l…</t>
  </si>
  <si>
    <t>https://curiouscat.me/Virtudsin/post/721663748?t=1543673240</t>
  </si>
  <si>
    <t xml:space="preserve">Skyfall Traín. </t>
  </si>
  <si>
    <t>Me dejé llevar y caí en algún punto entre los felinos y los silencios. Soy el perverprefeamigo :3 de @agateofobia</t>
  </si>
  <si>
    <t>http://flavors.me/vsv</t>
  </si>
  <si>
    <t>Aitor Burgos</t>
  </si>
  <si>
    <t>Mi deseo es que el PP de Pablo Casado reflexione y vea cuánta gente formada tiene alrededor, que vea las capacidades de sus afiliados, que implante de inmediato un sistema meritocrático. España y también Euskadi merecen tener el gobierno de los mejores. Es hora del cambio.</t>
  </si>
  <si>
    <t>Politólogo, Técnico Superior AdmFin. Me gustan derecho&amp;política. La libertad no es poder hacer lo que uno quiere, sino poder hacer lo que uno debe.</t>
  </si>
  <si>
    <t>"Tremendo"</t>
  </si>
  <si>
    <t>https://www.publico.es/tremending/2018/11/30/hoy-en-parecidos-razonables-pablo-casado-y-albert-rivera-se-visten-exactamente-igual-el-mismo-dia/?utm_source=facebook&amp;utm_medium=social&amp;utm_campaign=publico</t>
  </si>
  <si>
    <t>Sabe que la Unión Europea no lo dejaría, otra majadería del que se alimentan los populismos.Pablo Casado propone convertir Cádiz en un oasis fiscal  vía @elmundoes</t>
  </si>
  <si>
    <t>Claudio el espetaó</t>
  </si>
  <si>
    <t>El saber estar y decir lo Q pasa en Andalucía con el paro y la pobreza Q denuncia Pablo Casado la izquierda andaluza Q gobierna hace ya 40 años los pone nervioso le dicen de TO menos guapo la verdad escuece arriba el PP viva Andalucía LIBRE RT @pnique: Hermano andaluz. Hermana andaluza. Hayas votado a quien hayas votado en el pasado. No te voy a pedir el voto. Sólo te pido que veas estos 2 minutos de @TeresaRodr_... Y que mañana vayas a votar pensando en las cosas que son de verdad. Andalucía se juega mucho.</t>
  </si>
  <si>
    <t>Hola mi nombre es Claudio, jubilado, 5 hijos, 8 nietos, 80 años de regimen y tieso como la mojama, escribo muy má.</t>
  </si>
  <si>
    <t>Víctor</t>
  </si>
  <si>
    <t>Espero que, tras las elecciones, Pablo Casado se cargue a Juanma Moreno. Es que tendría que haberse lo cargado en cuanto fue ganó a Soraya en el congreso del PP</t>
  </si>
  <si>
    <t>Economía y Contabilidad. Los números me persiguen. Aquí se habla un poco de todo</t>
  </si>
  <si>
    <t>Alberto Arego</t>
  </si>
  <si>
    <t>Pablo Casado y Albert Rivera no son iguales. PP y Ciudadanos no son iguales. Repítelo. Otra vez. De nuevo. ¿Ya te lo crees? @eldiarioes</t>
  </si>
  <si>
    <t>http://eldiario.es
https://m.eldiario.es/rastreador/Casado-Rivera-visten-exactamente-Andalucia_6_841375890.html</t>
  </si>
  <si>
    <t>https://pbs.twimg.com/media/DtVdeI5WoAUhoGq.jpg</t>
  </si>
  <si>
    <t>Periodista e inmigrante cubano y español en @cibercuba</t>
  </si>
  <si>
    <t>http://www.albertoarego.com</t>
  </si>
  <si>
    <t>Centinel</t>
  </si>
  <si>
    <t>A ver Jaimito. ¿Cómo se clasifican los ángulos? - Un ángulo puede ser agudo, recto y .... Pablo Casado! #PabloCasadoObtuso RT @pablocasado_: Me uno al dolor del pueblo estadounidense por la pérdida de George H.W. Bush, expresidente de EE. UU., un hombre comprometido de manera inquebrantable con su país y con sus ideas que luchó por la democracia y la libertad frente a las dictaduras.</t>
  </si>
  <si>
    <t>Aquí de centinela en la White House tratando de evitar que Donald haga de las suyas. Reconozco que no tengo mucho éxito.</t>
  </si>
  <si>
    <t>A tope con Pablo Casado! — Bueno, aún no hace frío.</t>
  </si>
  <si>
    <t>Pepo</t>
  </si>
  <si>
    <t>Pablo Casado lo que tiene que pedir es que ilegalicen a su PPartido PPodrido de corruPPcion y Ribera también tendría que tener más cuidado con lo que pide porque tiene 4 ayuntamientos y en todos tienen algo que "esconder", investigación a fondo y manifestarse es democratico RT @miquinta1: Albert Rivera y Pablo Casado piden ilegalizar partidos políticos, exigen más mano dura a quienes se manifiesten y tienden la mano a la ultraderecha de VOX, pero la noticia es que hoy van vestidos iguales. Pues eso.</t>
  </si>
  <si>
    <t>https://twitter.com/miquinta1/status/1068607694800646145</t>
  </si>
  <si>
    <t>Terrassa  Barcelona</t>
  </si>
  <si>
    <t>Alex Fernández</t>
  </si>
  <si>
    <t>http://cadenaser.com/emisora/2018/11/30/radio_cordoba/1543603194_695608.html</t>
  </si>
  <si>
    <t>Aquí opiniones personales. Periodista. #SocialMedia #BrandedContent #MarketingDigital 📻 He estado en Cadena Ser, @el_canonazo y irtve</t>
  </si>
  <si>
    <t>http://alexferduran.weebly.com/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</si>
</sst>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8"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vertical="center" wrapText="1"/>
    </xf>
    <xf numFmtId="0" fontId="3" fillId="0" borderId="0" xfId="0" quotePrefix="1" applyFont="1" applyAlignment="1">
      <alignment horizontal="left" vertical="center" wrapText="1"/>
    </xf>
    <xf numFmtId="0" fontId="3" fillId="0" borderId="0" xfId="0" applyFont="1" applyAlignment="1">
      <alignment horizontal="left" vertical="center"/>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www.canalsur.es/" TargetMode="External"/><Relationship Id="rId1827" Type="http://schemas.openxmlformats.org/officeDocument/2006/relationships/hyperlink" Target="http://dlvr.it/Qsk9lN" TargetMode="External"/><Relationship Id="rId21" Type="http://schemas.openxmlformats.org/officeDocument/2006/relationships/hyperlink" Target="http://www.huffingtonpost.es/" TargetMode="External"/><Relationship Id="rId2089" Type="http://schemas.openxmlformats.org/officeDocument/2006/relationships/hyperlink" Target="http://www.atlas-news.com/" TargetMode="External"/><Relationship Id="rId170" Type="http://schemas.openxmlformats.org/officeDocument/2006/relationships/hyperlink" Target="http://mediterraneo.diario16.com/la-ignorancia-pablo-casado-no-sabe-una-republica/" TargetMode="External"/><Relationship Id="rId2296" Type="http://schemas.openxmlformats.org/officeDocument/2006/relationships/hyperlink" Target="https://pbs.twimg.com/media/DtcfUXOWoAMxpCm.jpg" TargetMode="External"/><Relationship Id="rId268" Type="http://schemas.openxmlformats.org/officeDocument/2006/relationships/hyperlink" Target="https://www.elplural.com/politica/caja-b-partido-popular-congreso-diputados-comision-investigacion-villarejo-pablo-casado_207693102" TargetMode="External"/><Relationship Id="rId475" Type="http://schemas.openxmlformats.org/officeDocument/2006/relationships/hyperlink" Target="https://m.eldiario.es/_324581a7" TargetMode="External"/><Relationship Id="rId682" Type="http://schemas.openxmlformats.org/officeDocument/2006/relationships/hyperlink" Target="http://bit.ly/2RzwUXT" TargetMode="External"/><Relationship Id="rId2156" Type="http://schemas.openxmlformats.org/officeDocument/2006/relationships/hyperlink" Target="https://soundcloud.com/abelardovazquez" TargetMode="External"/><Relationship Id="rId2363" Type="http://schemas.openxmlformats.org/officeDocument/2006/relationships/hyperlink" Target="http://esquivandofronteras.blogspot.com/" TargetMode="External"/><Relationship Id="rId2570" Type="http://schemas.openxmlformats.org/officeDocument/2006/relationships/hyperlink" Target="https://www.elmundo.es/espana/2018/12/02/5c02dc68fc6c83e67a8b45a2.html" TargetMode="External"/><Relationship Id="rId128" Type="http://schemas.openxmlformats.org/officeDocument/2006/relationships/hyperlink" Target="https://goo.gl/ni3XGd" TargetMode="External"/><Relationship Id="rId335" Type="http://schemas.openxmlformats.org/officeDocument/2006/relationships/hyperlink" Target="https://www.elmundo.es/espana/2018/12/07/5c099cb5fdddff55468b474e.html" TargetMode="External"/><Relationship Id="rId542" Type="http://schemas.openxmlformats.org/officeDocument/2006/relationships/hyperlink" Target="http://pic.twitter.com/DaUKUlfS93" TargetMode="External"/><Relationship Id="rId987" Type="http://schemas.openxmlformats.org/officeDocument/2006/relationships/hyperlink" Target="http://bit.ly/EP_Venezuela" TargetMode="External"/><Relationship Id="rId1172" Type="http://schemas.openxmlformats.org/officeDocument/2006/relationships/hyperlink" Target="https://pbs.twimg.com/media/DtpPyMWWwAAxS1b.jpg" TargetMode="External"/><Relationship Id="rId2016" Type="http://schemas.openxmlformats.org/officeDocument/2006/relationships/hyperlink" Target="http://pic.twitter.com/kzrULlaWrT" TargetMode="External"/><Relationship Id="rId2223" Type="http://schemas.openxmlformats.org/officeDocument/2006/relationships/hyperlink" Target="http://rafapages.com/" TargetMode="External"/><Relationship Id="rId2430" Type="http://schemas.openxmlformats.org/officeDocument/2006/relationships/hyperlink" Target="http://elsaltodiario.com/" TargetMode="External"/><Relationship Id="rId2668" Type="http://schemas.openxmlformats.org/officeDocument/2006/relationships/hyperlink" Target="http://www.huffingtonpost.es/" TargetMode="External"/><Relationship Id="rId402" Type="http://schemas.openxmlformats.org/officeDocument/2006/relationships/hyperlink" Target="https://www.eldiario.es/_324580bb" TargetMode="External"/><Relationship Id="rId847" Type="http://schemas.openxmlformats.org/officeDocument/2006/relationships/hyperlink" Target="https://elpais.com/politica/2018/11/28/actualidad/1543422955_026078.html" TargetMode="External"/><Relationship Id="rId1032" Type="http://schemas.openxmlformats.org/officeDocument/2006/relationships/hyperlink" Target="https://www.elcomercio.es/asturias/pegollu-santiago-garcia-granda-madrenazu-pablo-casado-20181205190548-nt.html" TargetMode="External"/><Relationship Id="rId1477" Type="http://schemas.openxmlformats.org/officeDocument/2006/relationships/hyperlink" Target="https://pbs.twimg.com/media/DtlppIkWwAApUMi.jpg" TargetMode="External"/><Relationship Id="rId1684" Type="http://schemas.openxmlformats.org/officeDocument/2006/relationships/hyperlink" Target="https://www.elplural.com/politica/pablo-casado-debe-gobernar-la-lista-mas-votada-porque-los-ciudadanos-deciden-con-su-voto_207439102?fbclid=IwAR02O4_DtY_I7CbHDCOfjhHmf1qDx0YQhK5Y0hRFw4gsapvuJVAFQ5OQeaM" TargetMode="External"/><Relationship Id="rId1891" Type="http://schemas.openxmlformats.org/officeDocument/2006/relationships/hyperlink" Target="http://www.multiforo.eu/Colaboraciones/2018/TratadoDeUtrechDos.htm" TargetMode="External"/><Relationship Id="rId2528" Type="http://schemas.openxmlformats.org/officeDocument/2006/relationships/hyperlink" Target="https://pbs.twimg.com/media/DtaM6ccWsAA7KMX.jpg" TargetMode="External"/><Relationship Id="rId2735" Type="http://schemas.openxmlformats.org/officeDocument/2006/relationships/hyperlink" Target="https://pbs.twimg.com/media/DtWU9E2WwAIzhVB.jpg" TargetMode="External"/><Relationship Id="rId707" Type="http://schemas.openxmlformats.org/officeDocument/2006/relationships/hyperlink" Target="https://ift.tt/2BVaZF8" TargetMode="External"/><Relationship Id="rId914" Type="http://schemas.openxmlformats.org/officeDocument/2006/relationships/hyperlink" Target="http://www.ppvaldemoro.es/" TargetMode="External"/><Relationship Id="rId1337" Type="http://schemas.openxmlformats.org/officeDocument/2006/relationships/hyperlink" Target="http://www.flickr.com/photos/101024512@N07/" TargetMode="External"/><Relationship Id="rId1544" Type="http://schemas.openxmlformats.org/officeDocument/2006/relationships/hyperlink" Target="https://pbs.twimg.com/media/DtlAdwwXQAATBqe.jpg" TargetMode="External"/><Relationship Id="rId1751" Type="http://schemas.openxmlformats.org/officeDocument/2006/relationships/hyperlink" Target="http://www.rtve.es/directo/la-1/" TargetMode="External"/><Relationship Id="rId1989" Type="http://schemas.openxmlformats.org/officeDocument/2006/relationships/hyperlink" Target="https://www.elplural.com/politica/pablo-casado-debe-gobernar-la-lista-mas-votada-porque-los-ciudadanos-deciden-con-su-voto_207439102" TargetMode="External"/><Relationship Id="rId2802" Type="http://schemas.openxmlformats.org/officeDocument/2006/relationships/hyperlink" Target="http://cadenaser.com/emisora/2018/11/30/radio_cordoba/1543603194_695608.html" TargetMode="External"/><Relationship Id="rId43" Type="http://schemas.openxmlformats.org/officeDocument/2006/relationships/hyperlink" Target="https://itunes.apple.com/es/book/gettysburg-1863/id665369445?mt=11" TargetMode="External"/><Relationship Id="rId1404" Type="http://schemas.openxmlformats.org/officeDocument/2006/relationships/hyperlink" Target="https://www.esdiario.com/959761778/Los-politicos-corrosivos-que-a-Pablo-Casado-aun-le-quedan-por-sacar-del-PP.html" TargetMode="External"/><Relationship Id="rId1611" Type="http://schemas.openxmlformats.org/officeDocument/2006/relationships/hyperlink" Target="https://www.elmundo.es/andalucia/2018/12/04/5c058a7621efa053238b470a.html" TargetMode="External"/><Relationship Id="rId1849" Type="http://schemas.openxmlformats.org/officeDocument/2006/relationships/hyperlink" Target="https://www.elmundo.es/espana/2018/12/03/5c05442321efa0cc3d8b46bc.html" TargetMode="External"/><Relationship Id="rId192" Type="http://schemas.openxmlformats.org/officeDocument/2006/relationships/hyperlink" Target="https://twitter.com/diostuitero/status/1070703777911631874" TargetMode="External"/><Relationship Id="rId1709" Type="http://schemas.openxmlformats.org/officeDocument/2006/relationships/hyperlink" Target="http://www.noticierouniversal.com/" TargetMode="External"/><Relationship Id="rId1916" Type="http://schemas.openxmlformats.org/officeDocument/2006/relationships/hyperlink" Target="https://www.20minutos.es/" TargetMode="External"/><Relationship Id="rId497" Type="http://schemas.openxmlformats.org/officeDocument/2006/relationships/hyperlink" Target="http://www.diegosanchezdelacruz.com/" TargetMode="External"/><Relationship Id="rId2080" Type="http://schemas.openxmlformats.org/officeDocument/2006/relationships/hyperlink" Target="https://pbs.twimg.com/media/DtdKKoyWoAAW7Xu.jpg" TargetMode="External"/><Relationship Id="rId2178" Type="http://schemas.openxmlformats.org/officeDocument/2006/relationships/hyperlink" Target="https://pbs.twimg.com/media/DtchTjHUUAAAyyN.jpg" TargetMode="External"/><Relationship Id="rId2385" Type="http://schemas.openxmlformats.org/officeDocument/2006/relationships/hyperlink" Target="https://pbs.twimg.com/media/DtcPBWpWkAE56mf.jpg" TargetMode="External"/><Relationship Id="rId357" Type="http://schemas.openxmlformats.org/officeDocument/2006/relationships/hyperlink" Target="https://www.elmundo.es/espana/2018/12/07/5c099cb5fdddff55468b474e.html" TargetMode="External"/><Relationship Id="rId1194" Type="http://schemas.openxmlformats.org/officeDocument/2006/relationships/hyperlink" Target="http://bng.gal/" TargetMode="External"/><Relationship Id="rId2038" Type="http://schemas.openxmlformats.org/officeDocument/2006/relationships/hyperlink" Target="https://pbs.twimg.com/media/DtejxLUWsAAONRg.jpg" TargetMode="External"/><Relationship Id="rId2592" Type="http://schemas.openxmlformats.org/officeDocument/2006/relationships/hyperlink" Target="http://bit.ly/2BEcxU1" TargetMode="External"/><Relationship Id="rId217" Type="http://schemas.openxmlformats.org/officeDocument/2006/relationships/hyperlink" Target="https://www.elplural.com/politica/caja-b-partido-popular-congreso-diputados-comision-investigacion-villarejo-pablo-casado_207693102" TargetMode="External"/><Relationship Id="rId564" Type="http://schemas.openxmlformats.org/officeDocument/2006/relationships/hyperlink" Target="http://esradio.libertaddigital.com/es-la-tarde-de-dieter/" TargetMode="External"/><Relationship Id="rId771" Type="http://schemas.openxmlformats.org/officeDocument/2006/relationships/hyperlink" Target="http://www.antonionavia.com/" TargetMode="External"/><Relationship Id="rId869" Type="http://schemas.openxmlformats.org/officeDocument/2006/relationships/hyperlink" Target="http://www.linkedin.com/in/carolinadiazesp" TargetMode="External"/><Relationship Id="rId1499" Type="http://schemas.openxmlformats.org/officeDocument/2006/relationships/hyperlink" Target="http://instagram.com/lady_war" TargetMode="External"/><Relationship Id="rId2245" Type="http://schemas.openxmlformats.org/officeDocument/2006/relationships/hyperlink" Target="http://www.enkmedio.es/" TargetMode="External"/><Relationship Id="rId2452" Type="http://schemas.openxmlformats.org/officeDocument/2006/relationships/hyperlink" Target="https://www.hobbyconsolas.com/noticias/microsoft-planea-adquirir-mas-estudios-2019-segun-insider-338959" TargetMode="External"/><Relationship Id="rId424" Type="http://schemas.openxmlformats.org/officeDocument/2006/relationships/hyperlink" Target="https://www.libertaddigital.com/espana/politica/2018-12-06/javier-fernandez-lasquetty-nuevo-jefe-de-gabinete-de-casado-1276629457/" TargetMode="External"/><Relationship Id="rId631" Type="http://schemas.openxmlformats.org/officeDocument/2006/relationships/hyperlink" Target="http://www.libremercado.com/" TargetMode="External"/><Relationship Id="rId729" Type="http://schemas.openxmlformats.org/officeDocument/2006/relationships/hyperlink" Target="http://www.heraldo.es/" TargetMode="External"/><Relationship Id="rId1054" Type="http://schemas.openxmlformats.org/officeDocument/2006/relationships/hyperlink" Target="https://pbs.twimg.com/media/DtqvawPW0AAhw1h.jpg" TargetMode="External"/><Relationship Id="rId1261" Type="http://schemas.openxmlformats.org/officeDocument/2006/relationships/hyperlink" Target="https://pbs.twimg.com/media/DtojIS-WsAIGe3c.jpg" TargetMode="External"/><Relationship Id="rId1359" Type="http://schemas.openxmlformats.org/officeDocument/2006/relationships/hyperlink" Target="http://www.malagaes.com/" TargetMode="External"/><Relationship Id="rId2105" Type="http://schemas.openxmlformats.org/officeDocument/2006/relationships/hyperlink" Target="https://bit.ly/2KA3WDu" TargetMode="External"/><Relationship Id="rId2312" Type="http://schemas.openxmlformats.org/officeDocument/2006/relationships/hyperlink" Target="https://pbs.twimg.com/media/BTB4R1QIEAAhP2v.png" TargetMode="External"/><Relationship Id="rId2757" Type="http://schemas.openxmlformats.org/officeDocument/2006/relationships/hyperlink" Target="http://www.huffingtonpost.es/" TargetMode="External"/><Relationship Id="rId936" Type="http://schemas.openxmlformats.org/officeDocument/2006/relationships/hyperlink" Target="https://www.libertaddigital.com/opinion/javier-fernandez-lasquetty/por-que-voy-a-votar-a-pablo-casado-85500/" TargetMode="External"/><Relationship Id="rId1121" Type="http://schemas.openxmlformats.org/officeDocument/2006/relationships/hyperlink" Target="https://pbs.twimg.com/media/DthfgaJXQAMS8g3.jpg" TargetMode="External"/><Relationship Id="rId1219" Type="http://schemas.openxmlformats.org/officeDocument/2006/relationships/hyperlink" Target="https://pbs.twimg.com/media/Dto18SSX4AEbEAT.jpg" TargetMode="External"/><Relationship Id="rId1566" Type="http://schemas.openxmlformats.org/officeDocument/2006/relationships/hyperlink" Target="http://bit.ly/2AZaXKX" TargetMode="External"/><Relationship Id="rId1773" Type="http://schemas.openxmlformats.org/officeDocument/2006/relationships/hyperlink" Target="http://instagram.com/_94ire" TargetMode="External"/><Relationship Id="rId1980" Type="http://schemas.openxmlformats.org/officeDocument/2006/relationships/hyperlink" Target="https://www.elplural.com/politica/pablo-casado-debe-gobernar-la-lista-mas-votada-porque-los-ciudadanos-deciden-con-su-voto_207439102" TargetMode="External"/><Relationship Id="rId2617" Type="http://schemas.openxmlformats.org/officeDocument/2006/relationships/hyperlink" Target="https://www.elmundo.es/espana/2018/12/02/5c02dc68fc6c83e67a8b45a2.html" TargetMode="External"/><Relationship Id="rId65" Type="http://schemas.openxmlformats.org/officeDocument/2006/relationships/hyperlink" Target="https://twitter.com/PPopular/status/1071398162714132481" TargetMode="External"/><Relationship Id="rId1426" Type="http://schemas.openxmlformats.org/officeDocument/2006/relationships/hyperlink" Target="https://www.elplural.com/politica/pablo-casado-debe-gobernar-la-lista-mas-votada-porque-los-ciudadanos-deciden-con-su-voto_207439102" TargetMode="External"/><Relationship Id="rId1633" Type="http://schemas.openxmlformats.org/officeDocument/2006/relationships/hyperlink" Target="http://dlvr.it/Qsn7XL" TargetMode="External"/><Relationship Id="rId1840" Type="http://schemas.openxmlformats.org/officeDocument/2006/relationships/hyperlink" Target="https://www.facebook.com/100003395081586/posts/1778238722299280/" TargetMode="External"/><Relationship Id="rId1700" Type="http://schemas.openxmlformats.org/officeDocument/2006/relationships/hyperlink" Target="https://www.elmundo.es/espana/2018/12/03/5c05442321efa0cc3d8b46bc.html" TargetMode="External"/><Relationship Id="rId1938" Type="http://schemas.openxmlformats.org/officeDocument/2006/relationships/hyperlink" Target="https://www.eldiario.es/directo/pp" TargetMode="External"/><Relationship Id="rId281" Type="http://schemas.openxmlformats.org/officeDocument/2006/relationships/hyperlink" Target="https://pbs.twimg.com/media/Dt0WDDSWwAIKA2t.jpg" TargetMode="External"/><Relationship Id="rId141" Type="http://schemas.openxmlformats.org/officeDocument/2006/relationships/hyperlink" Target="http://www.multiforo.eu/" TargetMode="External"/><Relationship Id="rId379" Type="http://schemas.openxmlformats.org/officeDocument/2006/relationships/hyperlink" Target="http://mediterraneo.diario16.com/la-ignorancia-pablo-casado-no-sabe-una-republica/" TargetMode="External"/><Relationship Id="rId586" Type="http://schemas.openxmlformats.org/officeDocument/2006/relationships/hyperlink" Target="https://itunes.apple.com/es/book/gettysburg-1863/id665369445?mt=11" TargetMode="External"/><Relationship Id="rId793" Type="http://schemas.openxmlformats.org/officeDocument/2006/relationships/hyperlink" Target="https://www.libertaddigital.com/espana/politica/2018-12-06/javier-fernandez-lasquetty-nuevo-jefe-de-gabinete-de-casado-1276629457/" TargetMode="External"/><Relationship Id="rId2267" Type="http://schemas.openxmlformats.org/officeDocument/2006/relationships/hyperlink" Target="http://instagram.com/emiliocabrera7" TargetMode="External"/><Relationship Id="rId2474" Type="http://schemas.openxmlformats.org/officeDocument/2006/relationships/hyperlink" Target="https://twitter.com/carlesenric/status/1068812756403531776" TargetMode="External"/><Relationship Id="rId2681" Type="http://schemas.openxmlformats.org/officeDocument/2006/relationships/hyperlink" Target="https://www.mundiario.com/articulo/politica/pedro-sanchez-presidente-ilegitimo-lider-pp/20181129223239139256.html" TargetMode="External"/><Relationship Id="rId7" Type="http://schemas.openxmlformats.org/officeDocument/2006/relationships/hyperlink" Target="https://www.20minutos.es/noticia/3511566/0/pablo-casado-pacto-andalucia-ciudadanos-otros-partidos-abstencion/?utm_source=twitter.com&amp;utm_medium=socialshare&amp;utm_campaign=mobile_web" TargetMode="External"/><Relationship Id="rId239" Type="http://schemas.openxmlformats.org/officeDocument/2006/relationships/hyperlink" Target="https://www.elplural.com/politica/caja-b-partido-popular-congreso-diputados-comision-investigacion-villarejo-pablo-casado_207693102" TargetMode="External"/><Relationship Id="rId446" Type="http://schemas.openxmlformats.org/officeDocument/2006/relationships/hyperlink" Target="http://pic.twitter.com/4wYef9zLVw" TargetMode="External"/><Relationship Id="rId653" Type="http://schemas.openxmlformats.org/officeDocument/2006/relationships/hyperlink" Target="https://elpais.com/politica/2018/12/03/actualidad/1543847174_403261.amp.html?__twitter_impression=true" TargetMode="External"/><Relationship Id="rId1076" Type="http://schemas.openxmlformats.org/officeDocument/2006/relationships/hyperlink" Target="https://amp.lasexta.com/noticias/nacional/el-cis-suspende-a-los-politicos-sanchez-roza-el-4-rivera-baja-medio-punto-e-iglesias-y-casado-se-instalan-en-el-3_201812055c07e3570cf222fc94edb830.html?__twitter_impression=true" TargetMode="External"/><Relationship Id="rId1283" Type="http://schemas.openxmlformats.org/officeDocument/2006/relationships/hyperlink" Target="https://www.esdiario.com/959761778/Los-politicos-corrosivos-que-a-Pablo-Casado-aun-le-quedan-por-sacar-del-PP.html" TargetMode="External"/><Relationship Id="rId1490" Type="http://schemas.openxmlformats.org/officeDocument/2006/relationships/hyperlink" Target="https://ift.tt/2SrsSRq" TargetMode="External"/><Relationship Id="rId2127" Type="http://schemas.openxmlformats.org/officeDocument/2006/relationships/hyperlink" Target="https://twitter.com/ppmadrid/status/1069362791998529537" TargetMode="External"/><Relationship Id="rId2334" Type="http://schemas.openxmlformats.org/officeDocument/2006/relationships/hyperlink" Target="http://pic.twitter.com/QY5c2SZGef" TargetMode="External"/><Relationship Id="rId2779" Type="http://schemas.openxmlformats.org/officeDocument/2006/relationships/hyperlink" Target="https://www.huffingtonpost.es/2018/12/01/la-comentada-cobra-de-pablo-casado-al-presidente-del-pp-de-granada_a_23605887/" TargetMode="External"/><Relationship Id="rId306" Type="http://schemas.openxmlformats.org/officeDocument/2006/relationships/hyperlink" Target="http://www.la-fm.es/" TargetMode="External"/><Relationship Id="rId860" Type="http://schemas.openxmlformats.org/officeDocument/2006/relationships/hyperlink" Target="https://pbs.twimg.com/media/DtujRuCU0AAdl3J.jpg" TargetMode="External"/><Relationship Id="rId958" Type="http://schemas.openxmlformats.org/officeDocument/2006/relationships/hyperlink" Target="https://www.libertaddigital.com/espana/politica/2018-12-06/javier-fernandez-lasquetty-nuevo-jefe-de-gabinete-de-casado-1276629457/" TargetMode="External"/><Relationship Id="rId1143" Type="http://schemas.openxmlformats.org/officeDocument/2006/relationships/hyperlink" Target="http://pic.twitter.com/2wUMID7DWe" TargetMode="External"/><Relationship Id="rId1588" Type="http://schemas.openxmlformats.org/officeDocument/2006/relationships/hyperlink" Target="http://alcantarillasocial.com/author/protestona1" TargetMode="External"/><Relationship Id="rId1795" Type="http://schemas.openxmlformats.org/officeDocument/2006/relationships/hyperlink" Target="http://pic.twitter.com/kUndXrdLvn" TargetMode="External"/><Relationship Id="rId2541" Type="http://schemas.openxmlformats.org/officeDocument/2006/relationships/hyperlink" Target="http://pic.twitter.com/4g2AW0vDD3" TargetMode="External"/><Relationship Id="rId2639" Type="http://schemas.openxmlformats.org/officeDocument/2006/relationships/hyperlink" Target="http://bit.ly/2DTdE3D" TargetMode="External"/><Relationship Id="rId87" Type="http://schemas.openxmlformats.org/officeDocument/2006/relationships/hyperlink" Target="https://ift.tt/2UpPTpz" TargetMode="External"/><Relationship Id="rId513" Type="http://schemas.openxmlformats.org/officeDocument/2006/relationships/hyperlink" Target="http://www.larazon.es/" TargetMode="External"/><Relationship Id="rId720" Type="http://schemas.openxmlformats.org/officeDocument/2006/relationships/hyperlink" Target="https://www.eldiario.es/politica/Casado-gobernar-Espana-coalicion-Ciudadanos_0_843415975.html" TargetMode="External"/><Relationship Id="rId818" Type="http://schemas.openxmlformats.org/officeDocument/2006/relationships/hyperlink" Target="https://pbs.twimg.com/media/DtuujMvW0AAnea0.jpg" TargetMode="External"/><Relationship Id="rId1350" Type="http://schemas.openxmlformats.org/officeDocument/2006/relationships/hyperlink" Target="http://www.multiforo.eu/" TargetMode="External"/><Relationship Id="rId1448" Type="http://schemas.openxmlformats.org/officeDocument/2006/relationships/hyperlink" Target="http://epmundo.com/2018/contundente-pablo-casado-defiende-la-inviolabilidad-del-rey/?utm_source=twitter&amp;utm_medium=social&amp;utm_campaign=ReviveOldPost" TargetMode="External"/><Relationship Id="rId1655" Type="http://schemas.openxmlformats.org/officeDocument/2006/relationships/hyperlink" Target="https://elpais.com/politica/2018/12/03/actualidad/1543865581_428659.html" TargetMode="External"/><Relationship Id="rId2401" Type="http://schemas.openxmlformats.org/officeDocument/2006/relationships/hyperlink" Target="http://cadenaser.com/ser/2018/11/30/politica/1543613809_281010.html?ssm=fb" TargetMode="External"/><Relationship Id="rId2706" Type="http://schemas.openxmlformats.org/officeDocument/2006/relationships/hyperlink" Target="http://pic.twitter.com/sODABPIHlX" TargetMode="External"/><Relationship Id="rId1003" Type="http://schemas.openxmlformats.org/officeDocument/2006/relationships/hyperlink" Target="http://www.elplural.com/" TargetMode="External"/><Relationship Id="rId1210" Type="http://schemas.openxmlformats.org/officeDocument/2006/relationships/hyperlink" Target="https://www.mallorcadiario.com/movil/noticia/487969/ibiza/pablo-casado:-en-balears-y-en-ibiza-hay-un-gobierno-de-perdedores.html" TargetMode="External"/><Relationship Id="rId1308" Type="http://schemas.openxmlformats.org/officeDocument/2006/relationships/hyperlink" Target="https://pbs.twimg.com/media/DtnZjGtW4AAMYct.jpg" TargetMode="External"/><Relationship Id="rId1862" Type="http://schemas.openxmlformats.org/officeDocument/2006/relationships/hyperlink" Target="https://pbs.twimg.com/media/DtgOtMbW0AE7i3B.jpg" TargetMode="External"/><Relationship Id="rId1515" Type="http://schemas.openxmlformats.org/officeDocument/2006/relationships/hyperlink" Target="https://www.diariodemallorca.es/cultura/2018/12/04/pablo-casado-enemigo-quiere-lapidar/1371752.html" TargetMode="External"/><Relationship Id="rId1722" Type="http://schemas.openxmlformats.org/officeDocument/2006/relationships/hyperlink" Target="http://www.youtube.com/channel/UCGA1_eec552ZWn41Fzl5x5A/videos" TargetMode="External"/><Relationship Id="rId14" Type="http://schemas.openxmlformats.org/officeDocument/2006/relationships/hyperlink" Target="http://bit.ly/2G6EZ4W" TargetMode="External"/><Relationship Id="rId2191" Type="http://schemas.openxmlformats.org/officeDocument/2006/relationships/hyperlink" Target="https://www.instagram.com/alextrigueroc/" TargetMode="External"/><Relationship Id="rId163" Type="http://schemas.openxmlformats.org/officeDocument/2006/relationships/hyperlink" Target="https://twitter.com/24h_tve/status/1070628872515809281" TargetMode="External"/><Relationship Id="rId370" Type="http://schemas.openxmlformats.org/officeDocument/2006/relationships/hyperlink" Target="https://judicial.elconfidencialdigital.com/" TargetMode="External"/><Relationship Id="rId2051" Type="http://schemas.openxmlformats.org/officeDocument/2006/relationships/hyperlink" Target="https://twitter.com/Mhemeroteca/status/1069343743508193280" TargetMode="External"/><Relationship Id="rId2289" Type="http://schemas.openxmlformats.org/officeDocument/2006/relationships/hyperlink" Target="https://www.instagram.com/theladymandarina/" TargetMode="External"/><Relationship Id="rId2496" Type="http://schemas.openxmlformats.org/officeDocument/2006/relationships/hyperlink" Target="https://www.elmundo.es/espana/2018/12/02/5c02dc68fc6c83e67a8b45a2.html" TargetMode="External"/><Relationship Id="rId230" Type="http://schemas.openxmlformats.org/officeDocument/2006/relationships/hyperlink" Target="https://www.elplural.com/politica/caja-b-partido-popular-congreso-diputados-comision-investigacion-villarejo-pablo-casado_207693102" TargetMode="External"/><Relationship Id="rId468" Type="http://schemas.openxmlformats.org/officeDocument/2006/relationships/hyperlink" Target="https://www.elplural.com/politica/vox-exige-a-pp-y-cs-que-andalucia-deje-de-ser-una-realidad-nacional_207636102" TargetMode="External"/><Relationship Id="rId675" Type="http://schemas.openxmlformats.org/officeDocument/2006/relationships/hyperlink" Target="https://www.libertaddigital.com/espana/politica/2018-12-06/javier-fernandez-lasquetty-nuevo-jefe-de-gabinete-de-casado-1276629457/" TargetMode="External"/><Relationship Id="rId882" Type="http://schemas.openxmlformats.org/officeDocument/2006/relationships/hyperlink" Target="https://www.libertaddigital.com/espana/politica/2018-12-06/javier-fernandez-lasquetty-nuevo-jefe-de-gabinete-de-casado-1276629457/" TargetMode="External"/><Relationship Id="rId1098" Type="http://schemas.openxmlformats.org/officeDocument/2006/relationships/hyperlink" Target="http://epmundo.com/2018/contundente-pablo-casado-defiende-la-inviolabilidad-del-rey/" TargetMode="External"/><Relationship Id="rId2149" Type="http://schemas.openxmlformats.org/officeDocument/2006/relationships/hyperlink" Target="https://www.abc.es/espana/abci-pablo-casado-creo-despues-40-anos-hora-pp-gobernara-san-telmo-201812022338_noticia.html" TargetMode="External"/><Relationship Id="rId2356" Type="http://schemas.openxmlformats.org/officeDocument/2006/relationships/hyperlink" Target="http://elpais.com/autor/miguel_angel_medina/a/" TargetMode="External"/><Relationship Id="rId2563" Type="http://schemas.openxmlformats.org/officeDocument/2006/relationships/hyperlink" Target="http://www.elmundo.es/andalucia.html" TargetMode="External"/><Relationship Id="rId2770" Type="http://schemas.openxmlformats.org/officeDocument/2006/relationships/hyperlink" Target="https://twitter.com/AdelanteAND/status/1068605225370562560" TargetMode="External"/><Relationship Id="rId328" Type="http://schemas.openxmlformats.org/officeDocument/2006/relationships/hyperlink" Target="http://www.redaccionmedica.com/" TargetMode="External"/><Relationship Id="rId535" Type="http://schemas.openxmlformats.org/officeDocument/2006/relationships/hyperlink" Target="https://www.larazon.es/espana/defender-la-constitucion-por-pablo-casado-FP20854122" TargetMode="External"/><Relationship Id="rId742" Type="http://schemas.openxmlformats.org/officeDocument/2006/relationships/hyperlink" Target="https://pbs.twimg.com/media/DtvDwn9W0AIgMSr.jpg" TargetMode="External"/><Relationship Id="rId1165" Type="http://schemas.openxmlformats.org/officeDocument/2006/relationships/hyperlink" Target="https://curiouscat.me/George_Winters/post/724846945?t=1544005059" TargetMode="External"/><Relationship Id="rId1372" Type="http://schemas.openxmlformats.org/officeDocument/2006/relationships/hyperlink" Target="http://www.gabrielrufian.cat/" TargetMode="External"/><Relationship Id="rId2009" Type="http://schemas.openxmlformats.org/officeDocument/2006/relationships/hyperlink" Target="http://www.nngglarioja.es/" TargetMode="External"/><Relationship Id="rId2216" Type="http://schemas.openxmlformats.org/officeDocument/2006/relationships/hyperlink" Target="http://pic.twitter.com/nJlwwAj1ST" TargetMode="External"/><Relationship Id="rId2423" Type="http://schemas.openxmlformats.org/officeDocument/2006/relationships/hyperlink" Target="https://www.elconfidencial.com/elecciones-andalucia/2018-12-02/pablo-casado-noche-electoral-pp_1681534/?utm_source=twitter&amp;utm_medium=social&amp;utm_campaign=ECDiarioManual" TargetMode="External"/><Relationship Id="rId2630" Type="http://schemas.openxmlformats.org/officeDocument/2006/relationships/hyperlink" Target="http://dlvr.it/Qsc8mD" TargetMode="External"/><Relationship Id="rId602" Type="http://schemas.openxmlformats.org/officeDocument/2006/relationships/hyperlink" Target="http://shr.gs/KzXg6Jj" TargetMode="External"/><Relationship Id="rId1025" Type="http://schemas.openxmlformats.org/officeDocument/2006/relationships/hyperlink" Target="https://pbs.twimg.com/media/DtrJeSiXQAAFjBd.jpg" TargetMode="External"/><Relationship Id="rId1232" Type="http://schemas.openxmlformats.org/officeDocument/2006/relationships/hyperlink" Target="https://bit.ly/2SuPIHI" TargetMode="External"/><Relationship Id="rId1677" Type="http://schemas.openxmlformats.org/officeDocument/2006/relationships/hyperlink" Target="http://www.hispaopera.com/" TargetMode="External"/><Relationship Id="rId1884" Type="http://schemas.openxmlformats.org/officeDocument/2006/relationships/hyperlink" Target="http://www.elmundo.es/espana.html" TargetMode="External"/><Relationship Id="rId2728" Type="http://schemas.openxmlformats.org/officeDocument/2006/relationships/hyperlink" Target="http://about.me/juananpaez" TargetMode="External"/><Relationship Id="rId907" Type="http://schemas.openxmlformats.org/officeDocument/2006/relationships/hyperlink" Target="https://www.libertaddigital.com/espana/politica/2018-12-06/javier-fernandez-lasquetty-nuevo-jefe-de-gabinete-de-casado-1276629457/" TargetMode="External"/><Relationship Id="rId1537" Type="http://schemas.openxmlformats.org/officeDocument/2006/relationships/hyperlink" Target="http://www.elnuevopais.net/" TargetMode="External"/><Relationship Id="rId1744" Type="http://schemas.openxmlformats.org/officeDocument/2006/relationships/hyperlink" Target="https://johnmuller.wordpress.com/author/cultrun/" TargetMode="External"/><Relationship Id="rId1951" Type="http://schemas.openxmlformats.org/officeDocument/2006/relationships/hyperlink" Target="https://pbs.twimg.com/media/DtfkzuPXcAUucTE.jpg" TargetMode="External"/><Relationship Id="rId36" Type="http://schemas.openxmlformats.org/officeDocument/2006/relationships/hyperlink" Target="http://dlvr.it/Qt81bd" TargetMode="External"/><Relationship Id="rId1604" Type="http://schemas.openxmlformats.org/officeDocument/2006/relationships/hyperlink" Target="https://pbs.twimg.com/media/DtkUujxWsAAS5eC.jpg" TargetMode="External"/><Relationship Id="rId185" Type="http://schemas.openxmlformats.org/officeDocument/2006/relationships/hyperlink" Target="https://www.elplural.com/autonomias/andalucia/el-futuro-de-andalucia-se-decide-en-madrid_207700102" TargetMode="External"/><Relationship Id="rId1811" Type="http://schemas.openxmlformats.org/officeDocument/2006/relationships/hyperlink" Target="http://dlvr.it/QskKKZ" TargetMode="External"/><Relationship Id="rId1909" Type="http://schemas.openxmlformats.org/officeDocument/2006/relationships/hyperlink" Target="http://dlvr.it/QsjR9F" TargetMode="External"/><Relationship Id="rId392" Type="http://schemas.openxmlformats.org/officeDocument/2006/relationships/hyperlink" Target="http://alfinaleslodesiempre.wordpress.com/" TargetMode="External"/><Relationship Id="rId697" Type="http://schemas.openxmlformats.org/officeDocument/2006/relationships/hyperlink" Target="http://pic.twitter.com/mS7gMNlO1j" TargetMode="External"/><Relationship Id="rId2073" Type="http://schemas.openxmlformats.org/officeDocument/2006/relationships/hyperlink" Target="https://youtu.be/YyvrZlrtZgQ" TargetMode="External"/><Relationship Id="rId2280" Type="http://schemas.openxmlformats.org/officeDocument/2006/relationships/hyperlink" Target="http://viktormedina.eu/" TargetMode="External"/><Relationship Id="rId2378" Type="http://schemas.openxmlformats.org/officeDocument/2006/relationships/hyperlink" Target="http://elpais.com/autor/natalia_junquera/a/" TargetMode="External"/><Relationship Id="rId252" Type="http://schemas.openxmlformats.org/officeDocument/2006/relationships/hyperlink" Target="https://pbs.twimg.com/media/DtvyoDkW0AAzkQp.jpg" TargetMode="External"/><Relationship Id="rId1187" Type="http://schemas.openxmlformats.org/officeDocument/2006/relationships/hyperlink" Target="https://pbs.twimg.com/media/DtpII__VYAA7TMh.jpg" TargetMode="External"/><Relationship Id="rId2140" Type="http://schemas.openxmlformats.org/officeDocument/2006/relationships/hyperlink" Target="http://www.lavanguardia.com/" TargetMode="External"/><Relationship Id="rId2585" Type="http://schemas.openxmlformats.org/officeDocument/2006/relationships/hyperlink" Target="http://pic.twitter.com/JZvHlH4wtN" TargetMode="External"/><Relationship Id="rId2792" Type="http://schemas.openxmlformats.org/officeDocument/2006/relationships/hyperlink" Target="https://www.publico.es/tremending/2018/11/30/hoy-en-parecidos-razonables-pablo-casado-y-albert-rivera-se-visten-exactamente-igual-el-mismo-dia/?utm_source=facebook&amp;utm_medium=social&amp;utm_campaign=publico" TargetMode="External"/><Relationship Id="rId112" Type="http://schemas.openxmlformats.org/officeDocument/2006/relationships/hyperlink" Target="http://mediterraneo.diario16.com/la-ignorancia-pablo-casado-no-sabe-una-republica/" TargetMode="External"/><Relationship Id="rId557" Type="http://schemas.openxmlformats.org/officeDocument/2006/relationships/hyperlink" Target="http://www.resistenciacatalana.es/" TargetMode="External"/><Relationship Id="rId764" Type="http://schemas.openxmlformats.org/officeDocument/2006/relationships/hyperlink" Target="https://www.instagram.com/p/BrC7v0BBh3I/?utm_source=ig_twitter_share&amp;igshid=xrkvi0fq6fzw" TargetMode="External"/><Relationship Id="rId971" Type="http://schemas.openxmlformats.org/officeDocument/2006/relationships/hyperlink" Target="http://youtu.be/tEDxmRkm-uw?a" TargetMode="External"/><Relationship Id="rId1394"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1699" Type="http://schemas.openxmlformats.org/officeDocument/2006/relationships/hyperlink" Target="https://www.eldiestro.es/2018/10/letizia-desprecios-pablo-casado-pp/" TargetMode="External"/><Relationship Id="rId2000" Type="http://schemas.openxmlformats.org/officeDocument/2006/relationships/hyperlink" Target="http://geopoliting.com/" TargetMode="External"/><Relationship Id="rId2238" Type="http://schemas.openxmlformats.org/officeDocument/2006/relationships/hyperlink" Target="http://www.lasfellini.com/" TargetMode="External"/><Relationship Id="rId2445" Type="http://schemas.openxmlformats.org/officeDocument/2006/relationships/hyperlink" Target="http://girasolok.blogspot.com.es/" TargetMode="External"/><Relationship Id="rId2652" Type="http://schemas.openxmlformats.org/officeDocument/2006/relationships/hyperlink" Target="https://m.eldiario.es/_31fba826" TargetMode="External"/><Relationship Id="rId417" Type="http://schemas.openxmlformats.org/officeDocument/2006/relationships/hyperlink" Target="http://www.convivenciaysolidaridad.blogspot.com/" TargetMode="External"/><Relationship Id="rId624" Type="http://schemas.openxmlformats.org/officeDocument/2006/relationships/hyperlink" Target="https://www.canarias7.es/nacional/casado-avisa-que-pp-bloqueara-cualquier-reforma-constitucional-que-haya-ahora-NL6085960" TargetMode="External"/><Relationship Id="rId831" Type="http://schemas.openxmlformats.org/officeDocument/2006/relationships/hyperlink" Target="http://www.jorgeurreta.com/" TargetMode="External"/><Relationship Id="rId1047" Type="http://schemas.openxmlformats.org/officeDocument/2006/relationships/hyperlink" Target="https://www.lavanguardia.com/vida/20181204/453341742314/psoe-carga-contra-la-comision-sobre-la-tesis-de-sanchez-en-el-senado-y-erc-baraja-pedir-que-declare-pablo-casado.html" TargetMode="External"/><Relationship Id="rId1254" Type="http://schemas.openxmlformats.org/officeDocument/2006/relationships/hyperlink" Target="https://pbs.twimg.com/media/DtolWb1UwAEGrFg.jpg" TargetMode="External"/><Relationship Id="rId1461" Type="http://schemas.openxmlformats.org/officeDocument/2006/relationships/hyperlink" Target="http://epmundo.com/2018/contundente-pablo-casado-defiende-la-inviolabilidad-del-rey/?utm_source=twitter&amp;utm_medium=social&amp;utm_campaign=ReviveOldPost" TargetMode="External"/><Relationship Id="rId2305" Type="http://schemas.openxmlformats.org/officeDocument/2006/relationships/hyperlink" Target="https://pbs.twimg.com/media/DtcfWqsW0AMYPfQ.jpg" TargetMode="External"/><Relationship Id="rId2512" Type="http://schemas.openxmlformats.org/officeDocument/2006/relationships/hyperlink" Target="http://pic.twitter.com/AZkYuCZfmG" TargetMode="External"/><Relationship Id="rId929" Type="http://schemas.openxmlformats.org/officeDocument/2006/relationships/hyperlink" Target="http://cayetanaalvarezdetoledo.com/" TargetMode="External"/><Relationship Id="rId1114" Type="http://schemas.openxmlformats.org/officeDocument/2006/relationships/hyperlink" Target="https://youtu.be/9Hg8oSA_BmY" TargetMode="External"/><Relationship Id="rId1321" Type="http://schemas.openxmlformats.org/officeDocument/2006/relationships/hyperlink" Target="http://epmundo.com/2018/contundente-pablo-casado-defiende-la-inviolabilidad-del-rey/" TargetMode="External"/><Relationship Id="rId1559" Type="http://schemas.openxmlformats.org/officeDocument/2006/relationships/hyperlink" Target="https://m.publico.es/politica/2071195/casado-no-descarta-ceder-consejerias-a-vox-para-que-el-pp-gobierne-en-andalucia?utm_campaign=publico&amp;utm_medium=social&amp;utm_source=facebook" TargetMode="External"/><Relationship Id="rId1766" Type="http://schemas.openxmlformats.org/officeDocument/2006/relationships/hyperlink" Target="https://www.eldiestro.es/2018/10/letizia-desprecios-pablo-casado-pp/" TargetMode="External"/><Relationship Id="rId1973" Type="http://schemas.openxmlformats.org/officeDocument/2006/relationships/hyperlink" Target="https://pbs.twimg.com/media/DtfSG62WkAAlvI5.jpg" TargetMode="External"/><Relationship Id="rId58" Type="http://schemas.openxmlformats.org/officeDocument/2006/relationships/hyperlink" Target="https://youtu.be/RaSIX4-RPAI" TargetMode="External"/><Relationship Id="rId1419" Type="http://schemas.openxmlformats.org/officeDocument/2006/relationships/hyperlink" Target="http://www.flickr.com/photos/clickfotoblog/" TargetMode="External"/><Relationship Id="rId1626" Type="http://schemas.openxmlformats.org/officeDocument/2006/relationships/hyperlink" Target="https://twitter.com/bsemper/status/1069702485378560002" TargetMode="External"/><Relationship Id="rId1833" Type="http://schemas.openxmlformats.org/officeDocument/2006/relationships/hyperlink" Target="https://twitter.com/pablocasado_/status/988396811449786368?s=19" TargetMode="External"/><Relationship Id="rId1900" Type="http://schemas.openxmlformats.org/officeDocument/2006/relationships/hyperlink" Target="https://ift.tt/2SsfxIK" TargetMode="External"/><Relationship Id="rId2095" Type="http://schemas.openxmlformats.org/officeDocument/2006/relationships/hyperlink" Target="https://twitter.com/PPopular/status/1069362524909260800" TargetMode="External"/><Relationship Id="rId274" Type="http://schemas.openxmlformats.org/officeDocument/2006/relationships/hyperlink" Target="https://www.elplural.com/politica/caja-b-partido-popular-congreso-diputados-comision-investigacion-villarejo-pablo-casado_207693102" TargetMode="External"/><Relationship Id="rId481" Type="http://schemas.openxmlformats.org/officeDocument/2006/relationships/hyperlink" Target="http://instagram.com/alber_1994" TargetMode="External"/><Relationship Id="rId2162" Type="http://schemas.openxmlformats.org/officeDocument/2006/relationships/hyperlink" Target="https://uji.academia.edu/Jos%C3%A9Mart%C3%ADnezRubio" TargetMode="External"/><Relationship Id="rId134" Type="http://schemas.openxmlformats.org/officeDocument/2006/relationships/hyperlink" Target="http://abogadosmedellin.mobi/el-castillo-el-poblado-medellin-abogados" TargetMode="External"/><Relationship Id="rId579" Type="http://schemas.openxmlformats.org/officeDocument/2006/relationships/hyperlink" Target="http://ver.20m.es/vo6o12" TargetMode="External"/><Relationship Id="rId786" Type="http://schemas.openxmlformats.org/officeDocument/2006/relationships/hyperlink" Target="https://elpais.com/politica/2018/11/28/actualidad/1543422955_026078.html?id_externo_rsoc=TW_CC" TargetMode="External"/><Relationship Id="rId993" Type="http://schemas.openxmlformats.org/officeDocument/2006/relationships/hyperlink" Target="https://pbs.twimg.com/media/DtkUujxWsAAS5eC.jpg" TargetMode="External"/><Relationship Id="rId2467" Type="http://schemas.openxmlformats.org/officeDocument/2006/relationships/hyperlink" Target="http://dlvr.it/Qsdl0y" TargetMode="External"/><Relationship Id="rId2674" Type="http://schemas.openxmlformats.org/officeDocument/2006/relationships/hyperlink" Target="https://pbs.twimg.com/media/DtXDp12X4AAafxG.jpg" TargetMode="External"/><Relationship Id="rId341" Type="http://schemas.openxmlformats.org/officeDocument/2006/relationships/hyperlink" Target="https://www.elplural.com/politica/caja-b-partido-popular-congreso-diputados-comision-investigacion-villarejo-pablo-casado_207693102" TargetMode="External"/><Relationship Id="rId439" Type="http://schemas.openxmlformats.org/officeDocument/2006/relationships/hyperlink" Target="https://shop.spreadshirt.es/camioriginal" TargetMode="External"/><Relationship Id="rId646" Type="http://schemas.openxmlformats.org/officeDocument/2006/relationships/hyperlink" Target="https://www.eldiario.es/politica/Casado-gobernar-Espana-coalicion-Ciudadanos_0_843415975.html" TargetMode="External"/><Relationship Id="rId1069" Type="http://schemas.openxmlformats.org/officeDocument/2006/relationships/hyperlink" Target="https://kaosenlared.net/tratado-de-utrecht-dos/" TargetMode="External"/><Relationship Id="rId1276" Type="http://schemas.openxmlformats.org/officeDocument/2006/relationships/hyperlink" Target="https://pbs.twimg.com/media/DtoUGL2XgAAND7p.jpg" TargetMode="External"/><Relationship Id="rId1483" Type="http://schemas.openxmlformats.org/officeDocument/2006/relationships/hyperlink" Target="https://noticiasvenezuela.co/2018/12/04/contundente-pablo-casado-defiende-la-inviolabilidad-del-rey/" TargetMode="External"/><Relationship Id="rId2022" Type="http://schemas.openxmlformats.org/officeDocument/2006/relationships/hyperlink" Target="http://www.telemadrid.es/buenosdiasmadrid" TargetMode="External"/><Relationship Id="rId2327" Type="http://schemas.openxmlformats.org/officeDocument/2006/relationships/hyperlink" Target="http://www.elconfidencialdigital.com/" TargetMode="External"/><Relationship Id="rId201" Type="http://schemas.openxmlformats.org/officeDocument/2006/relationships/hyperlink" Target="http://catalunya.cat/" TargetMode="External"/><Relationship Id="rId506" Type="http://schemas.openxmlformats.org/officeDocument/2006/relationships/hyperlink" Target="https://m.eldiario.es/324581a7_843415975/" TargetMode="External"/><Relationship Id="rId853" Type="http://schemas.openxmlformats.org/officeDocument/2006/relationships/hyperlink" Target="http://lrzn.es/mbk7h1" TargetMode="External"/><Relationship Id="rId1136" Type="http://schemas.openxmlformats.org/officeDocument/2006/relationships/hyperlink" Target="http://copiajuridica.es/" TargetMode="External"/><Relationship Id="rId1690" Type="http://schemas.openxmlformats.org/officeDocument/2006/relationships/hyperlink" Target="https://www.facebook.com/Ferts54" TargetMode="External"/><Relationship Id="rId1788" Type="http://schemas.openxmlformats.org/officeDocument/2006/relationships/hyperlink" Target="http://verdemanza.blogspot.com/" TargetMode="External"/><Relationship Id="rId1995" Type="http://schemas.openxmlformats.org/officeDocument/2006/relationships/hyperlink" Target="https://jotapov.com/2018/12/03/vox-es-el-spin-off-del-pp-javier-aroca-reconoce-el-merito-de-pablo-casado-en-la-campana-de-andalucia/" TargetMode="External"/><Relationship Id="rId2534" Type="http://schemas.openxmlformats.org/officeDocument/2006/relationships/hyperlink" Target="https://www.elmundo.es/espana/2018/12/02/5c02dc68fc6c83e67a8b45a2.html" TargetMode="External"/><Relationship Id="rId2741" Type="http://schemas.openxmlformats.org/officeDocument/2006/relationships/hyperlink" Target="https://m.eldiario.es/politica/Casado-irresponsable-bombardeos-buenismo-izquierda_0_455654529.html" TargetMode="External"/><Relationship Id="rId713" Type="http://schemas.openxmlformats.org/officeDocument/2006/relationships/hyperlink" Target="http://www.facebook.com/aalmodobar/" TargetMode="External"/><Relationship Id="rId920" Type="http://schemas.openxmlformats.org/officeDocument/2006/relationships/hyperlink" Target="https://www.larazon.es/espana/defender-la-constitucion-por-pablo-casado-FP20854122" TargetMode="External"/><Relationship Id="rId1343" Type="http://schemas.openxmlformats.org/officeDocument/2006/relationships/hyperlink" Target="http://epmundo.com/2018/contundente-pablo-casado-defiende-la-inviolabilidad-del-rey/" TargetMode="External"/><Relationship Id="rId1550" Type="http://schemas.openxmlformats.org/officeDocument/2006/relationships/hyperlink" Target="https://www.elnacional.cat/ca/politica/pablo-casado-vox-andalusia_331431_102.html" TargetMode="External"/><Relationship Id="rId1648" Type="http://schemas.openxmlformats.org/officeDocument/2006/relationships/hyperlink" Target="http://cadenaser.com/" TargetMode="External"/><Relationship Id="rId2601" Type="http://schemas.openxmlformats.org/officeDocument/2006/relationships/hyperlink" Target="https://pbs.twimg.com/media/DtZfdruWwAAzLwb.jpg" TargetMode="External"/><Relationship Id="rId1203" Type="http://schemas.openxmlformats.org/officeDocument/2006/relationships/hyperlink" Target="https://www.ideal.es/jaen/jaen/psoe-afirma-alcalde-20181205010337-ntvo.html" TargetMode="External"/><Relationship Id="rId1410" Type="http://schemas.openxmlformats.org/officeDocument/2006/relationships/hyperlink" Target="http://goo.gl/X7sgxF" TargetMode="External"/><Relationship Id="rId1508" Type="http://schemas.openxmlformats.org/officeDocument/2006/relationships/hyperlink" Target="https://www.elconfidencial.com/elecciones-andalucia/2018-12-04/elecciones-andalucia-pablo-casado-pp-vox-ciudadanos_1685222/" TargetMode="External"/><Relationship Id="rId1855" Type="http://schemas.openxmlformats.org/officeDocument/2006/relationships/hyperlink" Target="http://www.multiforo.eu/" TargetMode="External"/><Relationship Id="rId1715" Type="http://schemas.openxmlformats.org/officeDocument/2006/relationships/hyperlink" Target="http://ramblalibre.com/2018/12/02/pablo-casado-salva-bastante-mas-que-los-muebles/" TargetMode="External"/><Relationship Id="rId1922" Type="http://schemas.openxmlformats.org/officeDocument/2006/relationships/hyperlink" Target="https://www.linkedin.com/in/emilio-ordiz-504b72136/" TargetMode="External"/><Relationship Id="rId296" Type="http://schemas.openxmlformats.org/officeDocument/2006/relationships/hyperlink" Target="https://gaceta.es/espana/casado-sobre-los-acuerdos-de-gobierno-la-negociacion-es-con-ciudadanos-20181207-0926/" TargetMode="External"/><Relationship Id="rId2184" Type="http://schemas.openxmlformats.org/officeDocument/2006/relationships/hyperlink" Target="http://m.greenpeace.org/international/en/high/" TargetMode="External"/><Relationship Id="rId2391" Type="http://schemas.openxmlformats.org/officeDocument/2006/relationships/hyperlink" Target="http://bit.ly/2zFWUKb" TargetMode="External"/><Relationship Id="rId156" Type="http://schemas.openxmlformats.org/officeDocument/2006/relationships/hyperlink" Target="https://www.elplural.com/politica/caja-b-partido-popular-congreso-diputados-comision-investigacion-villarejo-pablo-casado_207693102" TargetMode="External"/><Relationship Id="rId363" Type="http://schemas.openxmlformats.org/officeDocument/2006/relationships/hyperlink" Target="https://www.elmundo.es/espana/2018/12/06/5c093b02fc6c83177e8b456f.html" TargetMode="External"/><Relationship Id="rId570" Type="http://schemas.openxmlformats.org/officeDocument/2006/relationships/hyperlink" Target="https://m.eldiario.es/_324580bb" TargetMode="External"/><Relationship Id="rId2044" Type="http://schemas.openxmlformats.org/officeDocument/2006/relationships/hyperlink" Target="http://bit.ly/2K5NA6u" TargetMode="External"/><Relationship Id="rId2251" Type="http://schemas.openxmlformats.org/officeDocument/2006/relationships/hyperlink" Target="http://tiempodeovejas.blogspot.com.es/" TargetMode="External"/><Relationship Id="rId2489" Type="http://schemas.openxmlformats.org/officeDocument/2006/relationships/hyperlink" Target="http://bit.ly/2iSWS8s" TargetMode="External"/><Relationship Id="rId2696" Type="http://schemas.openxmlformats.org/officeDocument/2006/relationships/hyperlink" Target="https://www.elespanol.com/espana/20181201/casado-huelga-hambre-delitos-consecuencias-nacional-innegociable/357465190_0.html" TargetMode="External"/><Relationship Id="rId223" Type="http://schemas.openxmlformats.org/officeDocument/2006/relationships/hyperlink" Target="https://www.elplural.com/politica/caja-b-partido-popular-congreso-diputados-comision-investigacion-villarejo-pablo-casado_207693102" TargetMode="External"/><Relationship Id="rId430" Type="http://schemas.openxmlformats.org/officeDocument/2006/relationships/hyperlink" Target="https://www.eldiario.es/_324580bb" TargetMode="External"/><Relationship Id="rId668" Type="http://schemas.openxmlformats.org/officeDocument/2006/relationships/hyperlink" Target="http://www.biotica.es/" TargetMode="External"/><Relationship Id="rId875" Type="http://schemas.openxmlformats.org/officeDocument/2006/relationships/hyperlink" Target="https://www.libertaddigital.com/espana/politica/2018-12-06/javier-fernandez-lasquetty-nuevo-jefe-de-gabinete-de-casado-1276629457/" TargetMode="External"/><Relationship Id="rId1060" Type="http://schemas.openxmlformats.org/officeDocument/2006/relationships/hyperlink" Target="http://ow.ly/ufOQ30mS11d" TargetMode="External"/><Relationship Id="rId1298" Type="http://schemas.openxmlformats.org/officeDocument/2006/relationships/hyperlink" Target="https://pbs.twimg.com/media/DtnuxVmWsAAU-zI.jpg" TargetMode="External"/><Relationship Id="rId2111" Type="http://schemas.openxmlformats.org/officeDocument/2006/relationships/hyperlink" Target="http://eldiariodemou.com/" TargetMode="External"/><Relationship Id="rId2349" Type="http://schemas.openxmlformats.org/officeDocument/2006/relationships/hyperlink" Target="http://net.quantitas.com/help/contact" TargetMode="External"/><Relationship Id="rId2556" Type="http://schemas.openxmlformats.org/officeDocument/2006/relationships/hyperlink" Target="https://twitter.com/Nicormg/status/1069042779563659264" TargetMode="External"/><Relationship Id="rId2763" Type="http://schemas.openxmlformats.org/officeDocument/2006/relationships/hyperlink" Target="http://www.huffingtonpost.es/" TargetMode="External"/><Relationship Id="rId528" Type="http://schemas.openxmlformats.org/officeDocument/2006/relationships/hyperlink" Target="https://www.20minutos.es/noticia/3510534/0/pablo-casado-recula-vox-andalucia-pactos-cs/?utm_source=twitter.com&amp;utm_medium=socialshare&amp;utm_campaign=desktop" TargetMode="External"/><Relationship Id="rId735" Type="http://schemas.openxmlformats.org/officeDocument/2006/relationships/hyperlink" Target="http://www.vozpopuli.com/" TargetMode="External"/><Relationship Id="rId942" Type="http://schemas.openxmlformats.org/officeDocument/2006/relationships/hyperlink" Target="https://www.elplural.com/politica/vox-exige-a-pp-y-cs-que-andalucia-deje-de-ser-una-realidad-nacional_207636102" TargetMode="External"/><Relationship Id="rId1158" Type="http://schemas.openxmlformats.org/officeDocument/2006/relationships/hyperlink" Target="https://pbs.twimg.com/media/DtpbMq8XcAAS6Hs.jpg" TargetMode="External"/><Relationship Id="rId1365" Type="http://schemas.openxmlformats.org/officeDocument/2006/relationships/hyperlink" Target="https://pbs.twimg.com/media/Dtmg21XUwAARgMU.jpg" TargetMode="External"/><Relationship Id="rId1572" Type="http://schemas.openxmlformats.org/officeDocument/2006/relationships/hyperlink" Target="http://www.lasexta.com/noticias/" TargetMode="External"/><Relationship Id="rId2209" Type="http://schemas.openxmlformats.org/officeDocument/2006/relationships/hyperlink" Target="http://www.losotros18.com/liga-bbva/malaga/" TargetMode="External"/><Relationship Id="rId2416" Type="http://schemas.openxmlformats.org/officeDocument/2006/relationships/hyperlink" Target="http://www.losreplicantes.com/" TargetMode="External"/><Relationship Id="rId2623" Type="http://schemas.openxmlformats.org/officeDocument/2006/relationships/hyperlink" Target="http://www.antonioburgos.com/abc/2018/12/re120218.html" TargetMode="External"/><Relationship Id="rId1018" Type="http://schemas.openxmlformats.org/officeDocument/2006/relationships/hyperlink" Target="http://www.ondacero.es/" TargetMode="External"/><Relationship Id="rId1225" Type="http://schemas.openxmlformats.org/officeDocument/2006/relationships/hyperlink" Target="http://listas.20minutos.es/otros/" TargetMode="External"/><Relationship Id="rId1432" Type="http://schemas.openxmlformats.org/officeDocument/2006/relationships/hyperlink" Target="https://bit.ly/2EdUtCn" TargetMode="External"/><Relationship Id="rId1877" Type="http://schemas.openxmlformats.org/officeDocument/2006/relationships/hyperlink" Target="http://www.xerezdeportivofc.com/" TargetMode="External"/><Relationship Id="rId71" Type="http://schemas.openxmlformats.org/officeDocument/2006/relationships/hyperlink" Target="https://pbs.twimg.com/media/Dt5XMJgWoAAVAEx.jpg" TargetMode="External"/><Relationship Id="rId802" Type="http://schemas.openxmlformats.org/officeDocument/2006/relationships/hyperlink" Target="http://www.facebook.com/fernando.jimenez.12720" TargetMode="External"/><Relationship Id="rId1737" Type="http://schemas.openxmlformats.org/officeDocument/2006/relationships/hyperlink" Target="http://www.elmundo.es/blogs/elmundo/mejoreducados" TargetMode="External"/><Relationship Id="rId1944" Type="http://schemas.openxmlformats.org/officeDocument/2006/relationships/hyperlink" Target="http://mmarques.info/" TargetMode="External"/><Relationship Id="rId29" Type="http://schemas.openxmlformats.org/officeDocument/2006/relationships/hyperlink" Target="https://www.elmundo.es/espana/2018/12/08/5c0adb54fdddffcc228b45f7.html" TargetMode="External"/><Relationship Id="rId178" Type="http://schemas.openxmlformats.org/officeDocument/2006/relationships/hyperlink" Target="https://www.elplural.com/politica/caja-b-partido-popular-congreso-diputados-comision-investigacion-villarejo-pablo-casado_207693102" TargetMode="External"/><Relationship Id="rId1804" Type="http://schemas.openxmlformats.org/officeDocument/2006/relationships/hyperlink" Target="https://www.elmundotoday.com/2018/12/la-derecha-consigue-frenar-el-independentismo-catalan-en-andalucia/" TargetMode="External"/><Relationship Id="rId385" Type="http://schemas.openxmlformats.org/officeDocument/2006/relationships/hyperlink" Target="http://shr.gs/KzXg6Jj" TargetMode="External"/><Relationship Id="rId592" Type="http://schemas.openxmlformats.org/officeDocument/2006/relationships/hyperlink" Target="https://m.eldiario.es/_324580bb" TargetMode="External"/><Relationship Id="rId2066" Type="http://schemas.openxmlformats.org/officeDocument/2006/relationships/hyperlink" Target="http://20minutos.es/" TargetMode="External"/><Relationship Id="rId2273" Type="http://schemas.openxmlformats.org/officeDocument/2006/relationships/hyperlink" Target="http://pic.twitter.com/i7LMDcBuWZ" TargetMode="External"/><Relationship Id="rId2480" Type="http://schemas.openxmlformats.org/officeDocument/2006/relationships/hyperlink" Target="https://pbs.twimg.com/media/Dta1hM4VsAAzD1C.jpg" TargetMode="External"/><Relationship Id="rId245" Type="http://schemas.openxmlformats.org/officeDocument/2006/relationships/hyperlink" Target="https://www.elplural.com/politica/caja-b-partido-popular-congreso-diputados-comision-investigacion-villarejo-pablo-casado_207693102" TargetMode="External"/><Relationship Id="rId452" Type="http://schemas.openxmlformats.org/officeDocument/2006/relationships/hyperlink" Target="https://blogs.publico.es/strambotic/2018/12/frases-pablo-casado/" TargetMode="External"/><Relationship Id="rId897" Type="http://schemas.openxmlformats.org/officeDocument/2006/relationships/hyperlink" Target="https://elpais.com/politica/2018/11/28/actualidad/1543422955_026078.html" TargetMode="External"/><Relationship Id="rId1082" Type="http://schemas.openxmlformats.org/officeDocument/2006/relationships/hyperlink" Target="http://www.elplural.com/" TargetMode="External"/><Relationship Id="rId2133" Type="http://schemas.openxmlformats.org/officeDocument/2006/relationships/hyperlink" Target="https://www.abc.es/espana/abci-pablo-casado-creo-despues-40-anos-hora-pp-gobernara-san-telmo-201812022338_noticia.html" TargetMode="External"/><Relationship Id="rId2340" Type="http://schemas.openxmlformats.org/officeDocument/2006/relationships/hyperlink" Target="https://www.elmundo.es/espana/2018/12/02/5c02dc68fc6c83e67a8b45a2.html" TargetMode="External"/><Relationship Id="rId2578" Type="http://schemas.openxmlformats.org/officeDocument/2006/relationships/hyperlink" Target="http://youtu.be/fvQtHKdfM-A?a" TargetMode="External"/><Relationship Id="rId2785" Type="http://schemas.openxmlformats.org/officeDocument/2006/relationships/hyperlink" Target="https://www.huffingtonpost.es/2018/12/01/la-comentada-cobra-de-pablo-casado-al-presidente-del-pp-de-granada_a_23605887/" TargetMode="External"/><Relationship Id="rId105" Type="http://schemas.openxmlformats.org/officeDocument/2006/relationships/hyperlink" Target="http://www.noeslomismo.org/" TargetMode="External"/><Relationship Id="rId312" Type="http://schemas.openxmlformats.org/officeDocument/2006/relationships/hyperlink" Target="http://www.eldiario.es/" TargetMode="External"/><Relationship Id="rId757" Type="http://schemas.openxmlformats.org/officeDocument/2006/relationships/hyperlink" Target="https://pbs.twimg.com/media/Dtu8iITXcAAEyLn.jpg" TargetMode="External"/><Relationship Id="rId964" Type="http://schemas.openxmlformats.org/officeDocument/2006/relationships/hyperlink" Target="https://goo.gl/fb/xF9SHZ" TargetMode="External"/><Relationship Id="rId1387" Type="http://schemas.openxmlformats.org/officeDocument/2006/relationships/hyperlink" Target="https://sentipensantequenadasabeypocopiensa.wordpress.com/" TargetMode="External"/><Relationship Id="rId1594" Type="http://schemas.openxmlformats.org/officeDocument/2006/relationships/hyperlink" Target="https://www.elmundo.es/espana/2018/12/04/5c05a39afc6c83c0748b4763.html" TargetMode="External"/><Relationship Id="rId2200" Type="http://schemas.openxmlformats.org/officeDocument/2006/relationships/hyperlink" Target="https://elresguardo1o.wixsite.com/sentirypensar" TargetMode="External"/><Relationship Id="rId2438" Type="http://schemas.openxmlformats.org/officeDocument/2006/relationships/hyperlink" Target="https://www.elconfidencialdigital.com/articulo/politica/pablo-casado-prepara-limpia-pp-aprovechando-derrotas-autonomicas/20181127191603118694.html" TargetMode="External"/><Relationship Id="rId2645" Type="http://schemas.openxmlformats.org/officeDocument/2006/relationships/hyperlink" Target="https://diario6.com/el-jefe-de-prensa-de-pablo-casado-esta-imputado-por-fraude-malversacion-y-trafico-de-influencias/" TargetMode="External"/><Relationship Id="rId93" Type="http://schemas.openxmlformats.org/officeDocument/2006/relationships/hyperlink" Target="https://okdiario.com/espana/2018/12/07/casado-pide-sanchez-que-deje-paz-constitucion-que-esta-cayendo-cataluna-3440919" TargetMode="External"/><Relationship Id="rId617" Type="http://schemas.openxmlformats.org/officeDocument/2006/relationships/hyperlink" Target="https://www.lavanguardia.com/politica/20181206/453397937523/pablo-casado-vox-trump-le-pen-elecciones-andaluzas.html?utm_source=twitter_lv&amp;utm_medium=social" TargetMode="External"/><Relationship Id="rId824" Type="http://schemas.openxmlformats.org/officeDocument/2006/relationships/hyperlink" Target="https://www.zapper.news/news?tpost=250570&amp;taccount=zapper_news" TargetMode="External"/><Relationship Id="rId1247" Type="http://schemas.openxmlformats.org/officeDocument/2006/relationships/hyperlink" Target="http://epmundo.com/2018/contundente-pablo-casado-defiende-la-inviolabilidad-del-rey/" TargetMode="External"/><Relationship Id="rId1454" Type="http://schemas.openxmlformats.org/officeDocument/2006/relationships/hyperlink" Target="http://cadenaser.com/emisora/2018/11/30/radio_cordoba/1543603194_695608.html?ssm=fb" TargetMode="External"/><Relationship Id="rId1661" Type="http://schemas.openxmlformats.org/officeDocument/2006/relationships/hyperlink" Target="https://twitter.com/FSerranoCastro/status/729684736965267456" TargetMode="External"/><Relationship Id="rId1899" Type="http://schemas.openxmlformats.org/officeDocument/2006/relationships/hyperlink" Target="https://t.me/AitorRiveiro" TargetMode="External"/><Relationship Id="rId2505" Type="http://schemas.openxmlformats.org/officeDocument/2006/relationships/hyperlink" Target="http://www.antonioburgos.com/abc/2018/12/re120218.html" TargetMode="External"/><Relationship Id="rId2712" Type="http://schemas.openxmlformats.org/officeDocument/2006/relationships/hyperlink" Target="https://es.yahoo.com/noticias/alucinante-coincidencia-albert-rivera-pablo-124600399.html" TargetMode="External"/><Relationship Id="rId1107" Type="http://schemas.openxmlformats.org/officeDocument/2006/relationships/hyperlink" Target="https://www.elmundo.es/espana/2018/12/05/5c06eb2afc6c839b5f8b4622.html" TargetMode="External"/><Relationship Id="rId1314" Type="http://schemas.openxmlformats.org/officeDocument/2006/relationships/hyperlink" Target="https://pbs.twimg.com/media/DtnOOO5VYAELfpK.jpg" TargetMode="External"/><Relationship Id="rId1521" Type="http://schemas.openxmlformats.org/officeDocument/2006/relationships/hyperlink" Target="https://pbs.twimg.com/media/DtlLqz-W0AAYCoG.jpg" TargetMode="External"/><Relationship Id="rId1759" Type="http://schemas.openxmlformats.org/officeDocument/2006/relationships/hyperlink" Target="http://ow.ly/hkX830mQGof" TargetMode="External"/><Relationship Id="rId1966" Type="http://schemas.openxmlformats.org/officeDocument/2006/relationships/hyperlink" Target="https://www.pscp.tv/w/btUWIDFXZ0tnRFBYYXdXanZ8MWxQSnFkamRXa1BHYpvMv8zc1oavkYSi5ooollS42snMoyjDY0qPw0WKWaJ6" TargetMode="External"/><Relationship Id="rId1619" Type="http://schemas.openxmlformats.org/officeDocument/2006/relationships/hyperlink" Target="http://www.publico.es/" TargetMode="External"/><Relationship Id="rId1826" Type="http://schemas.openxmlformats.org/officeDocument/2006/relationships/hyperlink" Target="http://www.binarymag.es/" TargetMode="External"/><Relationship Id="rId20"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2088" Type="http://schemas.openxmlformats.org/officeDocument/2006/relationships/hyperlink" Target="http://www.atlas-news.com/agencia-internet/politica/Madrid-valoracion-Partido_Popular-Pablo_Casado-sede-Genova-resultados-elecciones-Andalucia_3_1516678321.html" TargetMode="External"/><Relationship Id="rId2295" Type="http://schemas.openxmlformats.org/officeDocument/2006/relationships/hyperlink" Target="http://bit.ly/2KLQiy7" TargetMode="External"/><Relationship Id="rId267" Type="http://schemas.openxmlformats.org/officeDocument/2006/relationships/hyperlink" Target="http://pic.twitter.com/JzLfpZsqJT" TargetMode="External"/><Relationship Id="rId474" Type="http://schemas.openxmlformats.org/officeDocument/2006/relationships/hyperlink" Target="https://m.eldiario.es/324581a7_843415975/" TargetMode="External"/><Relationship Id="rId2155" Type="http://schemas.openxmlformats.org/officeDocument/2006/relationships/hyperlink" Target="https://www.abc.es/espana/abci-pablo-casado-creo-despues-40-anos-hora-pp-gobernara-san-telmo-201812022338_noticia.html" TargetMode="External"/><Relationship Id="rId127" Type="http://schemas.openxmlformats.org/officeDocument/2006/relationships/hyperlink" Target="https://www.eldiario.es/_324ad7ff" TargetMode="External"/><Relationship Id="rId681" Type="http://schemas.openxmlformats.org/officeDocument/2006/relationships/hyperlink" Target="https://m.eldiario.es/_324581a7" TargetMode="External"/><Relationship Id="rId779" Type="http://schemas.openxmlformats.org/officeDocument/2006/relationships/hyperlink" Target="https://m.facebook.com/fulgencio.peronapanos?refsrc=http%3A%2F%2Fwww.google.es%2F&amp;_rdr" TargetMode="External"/><Relationship Id="rId986" Type="http://schemas.openxmlformats.org/officeDocument/2006/relationships/hyperlink" Target="https://pbs.twimg.com/media/DtsIht_WwAAXirC.jpg" TargetMode="External"/><Relationship Id="rId2362" Type="http://schemas.openxmlformats.org/officeDocument/2006/relationships/hyperlink" Target="http://www.rtve.es/m/alacarta/videos/especiales-informativos/pp-cs-unidos-podemos-debaten-sobre-quien-debe-gobernar-lista-mas-votada-quien-mas-apoyos-parlamentarios-tenga/3640291/?media=tve" TargetMode="External"/><Relationship Id="rId2667" Type="http://schemas.openxmlformats.org/officeDocument/2006/relationships/hyperlink" Target="https://www.huffingtonpost.es/2018/12/01/la-comentada-cobra-de-pablo-casado-al-presidente-del-pp-de-granada_a_23605887/?utm_hp_ref=es-homepage" TargetMode="External"/><Relationship Id="rId334" Type="http://schemas.openxmlformats.org/officeDocument/2006/relationships/hyperlink" Target="http://www.tecnitrad.com/" TargetMode="External"/><Relationship Id="rId541" Type="http://schemas.openxmlformats.org/officeDocument/2006/relationships/hyperlink" Target="https://www.eldiario.es/_324580bb" TargetMode="External"/><Relationship Id="rId639" Type="http://schemas.openxmlformats.org/officeDocument/2006/relationships/hyperlink" Target="http://notifeed.net/article/cf3236b071e88617601c67d82b7c1cab" TargetMode="External"/><Relationship Id="rId1171" Type="http://schemas.openxmlformats.org/officeDocument/2006/relationships/hyperlink" Target="https://www.elmundo.es/espana/2018/12/05/5c06eb2afc6c839b5f8b4622.html" TargetMode="External"/><Relationship Id="rId1269" Type="http://schemas.openxmlformats.org/officeDocument/2006/relationships/hyperlink" Target="https://www.elmundo.es/espana/2018/12/04/5c067818fc6c8375448b45a9.html" TargetMode="External"/><Relationship Id="rId1476" Type="http://schemas.openxmlformats.org/officeDocument/2006/relationships/hyperlink" Target="http://epmundo.com/2018/contundente-pablo-casado-defiende-la-inviolabilidad-del-rey/" TargetMode="External"/><Relationship Id="rId2015" Type="http://schemas.openxmlformats.org/officeDocument/2006/relationships/hyperlink" Target="http://www.elsemanaldigital.com/" TargetMode="External"/><Relationship Id="rId2222" Type="http://schemas.openxmlformats.org/officeDocument/2006/relationships/hyperlink" Target="http://www.eldiario.es/kinotico" TargetMode="External"/><Relationship Id="rId401" Type="http://schemas.openxmlformats.org/officeDocument/2006/relationships/hyperlink" Target="https://m.eldiario.es/324580bb_843415739/" TargetMode="External"/><Relationship Id="rId846" Type="http://schemas.openxmlformats.org/officeDocument/2006/relationships/hyperlink" Target="https://www.facebook.com/tece.gerardo" TargetMode="External"/><Relationship Id="rId1031" Type="http://schemas.openxmlformats.org/officeDocument/2006/relationships/hyperlink" Target="http://www.centroasturianobarcelona.com/" TargetMode="External"/><Relationship Id="rId1129" Type="http://schemas.openxmlformats.org/officeDocument/2006/relationships/hyperlink" Target="http://www.formulatv.com/" TargetMode="External"/><Relationship Id="rId1683" Type="http://schemas.openxmlformats.org/officeDocument/2006/relationships/hyperlink" Target="https://www.elplural.com/politica/pablo-casado-debe-gobernar-la-lista-mas-votada-porque-los-ciudadanos-deciden-con-su-voto_207439102" TargetMode="External"/><Relationship Id="rId1890" Type="http://schemas.openxmlformats.org/officeDocument/2006/relationships/hyperlink" Target="http://www.multiforo.eu/" TargetMode="External"/><Relationship Id="rId1988" Type="http://schemas.openxmlformats.org/officeDocument/2006/relationships/hyperlink" Target="http://calaixinformatiu.wordpress.com/" TargetMode="External"/><Relationship Id="rId2527" Type="http://schemas.openxmlformats.org/officeDocument/2006/relationships/hyperlink" Target="http://pensandoenmirincon.blogspot.es/" TargetMode="External"/><Relationship Id="rId2734" Type="http://schemas.openxmlformats.org/officeDocument/2006/relationships/hyperlink" Target="https://www.clm24.es/articulo/actualidad/psoe-asegura-palabra-pacto-nunez-pp-vale-tuit-pablo-casado/20181201182121227664.html" TargetMode="External"/><Relationship Id="rId706" Type="http://schemas.openxmlformats.org/officeDocument/2006/relationships/hyperlink" Target="http://liverdades.com/" TargetMode="External"/><Relationship Id="rId913" Type="http://schemas.openxmlformats.org/officeDocument/2006/relationships/hyperlink" Target="http://bit.ly/2FZJDBT" TargetMode="External"/><Relationship Id="rId1336" Type="http://schemas.openxmlformats.org/officeDocument/2006/relationships/hyperlink" Target="https://www.nuevatribuna.es/opinion/edmundo-fayanas-escuer/pablo-casado-estupidez-intelectual/20181017182455156619.html" TargetMode="External"/><Relationship Id="rId1543" Type="http://schemas.openxmlformats.org/officeDocument/2006/relationships/hyperlink" Target="http://www.sevilla24horas.com/" TargetMode="External"/><Relationship Id="rId1750" Type="http://schemas.openxmlformats.org/officeDocument/2006/relationships/hyperlink" Target="http://antoniobernabe.net/" TargetMode="External"/><Relationship Id="rId2801" Type="http://schemas.openxmlformats.org/officeDocument/2006/relationships/hyperlink" Target="https://twitter.com/miquinta1/status/1068607694800646145" TargetMode="External"/><Relationship Id="rId42" Type="http://schemas.openxmlformats.org/officeDocument/2006/relationships/hyperlink" Target="https://pbs.twimg.com/media/Dt5trjRU4AIcuwK.jpg" TargetMode="External"/><Relationship Id="rId1403" Type="http://schemas.openxmlformats.org/officeDocument/2006/relationships/hyperlink" Target="http://noticiasvenezuela.org/" TargetMode="External"/><Relationship Id="rId1610" Type="http://schemas.openxmlformats.org/officeDocument/2006/relationships/hyperlink" Target="http://www.redbubble.com/es/people/artsurdo" TargetMode="External"/><Relationship Id="rId1848" Type="http://schemas.openxmlformats.org/officeDocument/2006/relationships/hyperlink" Target="http://www.elpais.com/" TargetMode="External"/><Relationship Id="rId191" Type="http://schemas.openxmlformats.org/officeDocument/2006/relationships/hyperlink" Target="https://es.linkedin.com/in/cristianbuendiavidal" TargetMode="External"/><Relationship Id="rId1708" Type="http://schemas.openxmlformats.org/officeDocument/2006/relationships/hyperlink" Target="https://noticierouniversal.com/actualidad/el-director-de-orquesta-pablo-heras-casado-condecorado-como-caballero-de-la-orden-de-las-artes-y-las-letras-de-francia/" TargetMode="External"/><Relationship Id="rId1915" Type="http://schemas.openxmlformats.org/officeDocument/2006/relationships/hyperlink" Target="http://ver.20m.es/ggviq1" TargetMode="External"/><Relationship Id="rId289" Type="http://schemas.openxmlformats.org/officeDocument/2006/relationships/hyperlink" Target="https://www.elplural.com/politica/caja-b-partido-popular-congreso-diputados-comision-investigacion-villarejo-pablo-casado_207693102" TargetMode="External"/><Relationship Id="rId496" Type="http://schemas.openxmlformats.org/officeDocument/2006/relationships/hyperlink" Target="http://dlvr.it/Qt0kFL" TargetMode="External"/><Relationship Id="rId2177" Type="http://schemas.openxmlformats.org/officeDocument/2006/relationships/hyperlink" Target="http://dlvr.it/QsfzcC" TargetMode="External"/><Relationship Id="rId2384" Type="http://schemas.openxmlformats.org/officeDocument/2006/relationships/hyperlink" Target="https://www.moncloa.com/" TargetMode="External"/><Relationship Id="rId2591" Type="http://schemas.openxmlformats.org/officeDocument/2006/relationships/hyperlink" Target="https://www.publico.es/tremending/2018/11/30/hoy-en-parecidos-razonables-pablo-casado-y-albert-rivera-se-visten-exactamente-igual-el-mismo-dia/" TargetMode="External"/><Relationship Id="rId149" Type="http://schemas.openxmlformats.org/officeDocument/2006/relationships/hyperlink" Target="https://www.elplural.com/politica/caja-b-partido-popular-congreso-diputados-comision-investigacion-villarejo-pablo-casado_207693102" TargetMode="External"/><Relationship Id="rId356" Type="http://schemas.openxmlformats.org/officeDocument/2006/relationships/hyperlink" Target="https://www.elmundo.es/espana/2018/12/06/5c093b02fc6c83177e8b456f.html" TargetMode="External"/><Relationship Id="rId563" Type="http://schemas.openxmlformats.org/officeDocument/2006/relationships/hyperlink" Target="http://listas.20minutos.es/otros/" TargetMode="External"/><Relationship Id="rId770" Type="http://schemas.openxmlformats.org/officeDocument/2006/relationships/hyperlink" Target="https://www.instagram.com/p/BrC7mEAhGTx/?utm_source=ig_twitter_share&amp;igshid=12u5mb23czvmh" TargetMode="External"/><Relationship Id="rId1193" Type="http://schemas.openxmlformats.org/officeDocument/2006/relationships/hyperlink" Target="https://pbs.twimg.com/media/DtpEsN-WkAA91Pn.jpg" TargetMode="External"/><Relationship Id="rId2037" Type="http://schemas.openxmlformats.org/officeDocument/2006/relationships/hyperlink" Target="https://bit.ly/2AqZmY2" TargetMode="External"/><Relationship Id="rId2244" Type="http://schemas.openxmlformats.org/officeDocument/2006/relationships/hyperlink" Target="http://www.europapress.es/" TargetMode="External"/><Relationship Id="rId2451" Type="http://schemas.openxmlformats.org/officeDocument/2006/relationships/hyperlink" Target="https://www.instagram.com/yasmi_gonzalez_" TargetMode="External"/><Relationship Id="rId2689" Type="http://schemas.openxmlformats.org/officeDocument/2006/relationships/hyperlink" Target="https://pbs.twimg.com/media/DtXCkURW0AAzQaP.jpg" TargetMode="External"/><Relationship Id="rId216" Type="http://schemas.openxmlformats.org/officeDocument/2006/relationships/hyperlink" Target="https://www.elplural.com/politica/caja-b-partido-popular-congreso-diputados-comision-investigacion-villarejo-pablo-casado_207693102" TargetMode="External"/><Relationship Id="rId423" Type="http://schemas.openxmlformats.org/officeDocument/2006/relationships/hyperlink" Target="http://www.larazon.es/" TargetMode="External"/><Relationship Id="rId868" Type="http://schemas.openxmlformats.org/officeDocument/2006/relationships/hyperlink" Target="https://youtu.be/TIMXeNT-JX4" TargetMode="External"/><Relationship Id="rId1053" Type="http://schemas.openxmlformats.org/officeDocument/2006/relationships/hyperlink" Target="http://page.is/alfred-martin" TargetMode="External"/><Relationship Id="rId1260" Type="http://schemas.openxmlformats.org/officeDocument/2006/relationships/hyperlink" Target="http://bit.ly/EP_Venezuela" TargetMode="External"/><Relationship Id="rId1498" Type="http://schemas.openxmlformats.org/officeDocument/2006/relationships/hyperlink" Target="http://preguntaamienfermera.blogspot.com.es/" TargetMode="External"/><Relationship Id="rId2104" Type="http://schemas.openxmlformats.org/officeDocument/2006/relationships/hyperlink" Target="https://pbs.twimg.com/media/Dtcw3dRW0AEAoNu.jpg" TargetMode="External"/><Relationship Id="rId2549" Type="http://schemas.openxmlformats.org/officeDocument/2006/relationships/hyperlink" Target="https://carlosvquez.blogspot.com.es/" TargetMode="External"/><Relationship Id="rId2756" Type="http://schemas.openxmlformats.org/officeDocument/2006/relationships/hyperlink" Target="https://www.huffingtonpost.es/2018/12/01/la-comentada-cobra-de-pablo-casado-al-presidente-del-pp-de-granada_a_23605887/" TargetMode="External"/><Relationship Id="rId630" Type="http://schemas.openxmlformats.org/officeDocument/2006/relationships/hyperlink" Target="https://www.libertaddigital.com/espana/politica/2018-12-06/javier-fernandez-lasquetty-nuevo-jefe-de-gabinete-de-casado-1276629457/" TargetMode="External"/><Relationship Id="rId728" Type="http://schemas.openxmlformats.org/officeDocument/2006/relationships/hyperlink" Target="https://www.eldiario.es/politica/Casado-Javier-Lasquetty-Aguirre-Gabinete_0_843415739.html" TargetMode="External"/><Relationship Id="rId935" Type="http://schemas.openxmlformats.org/officeDocument/2006/relationships/hyperlink" Target="https://www.libertaddigital.com/espana/politica/2018-12-06/javier-fernandez-lasquetty-nuevo-jefe-de-gabinete-de-casado-1276629457/" TargetMode="External"/><Relationship Id="rId1358" Type="http://schemas.openxmlformats.org/officeDocument/2006/relationships/hyperlink" Target="https://www.facebook.com/298445994230/posts/10156799988474231/" TargetMode="External"/><Relationship Id="rId1565" Type="http://schemas.openxmlformats.org/officeDocument/2006/relationships/hyperlink" Target="http://www.enblau.com/es/" TargetMode="External"/><Relationship Id="rId1772" Type="http://schemas.openxmlformats.org/officeDocument/2006/relationships/hyperlink" Target="https://www.pscp.tv/w/btVxOTFyYVFaZXdvR25Fekx8MXlOeGFPRU9lcWdHasKq6A4MM_MEUgw9Sri6uO58TWaSgiMOFKiZGnJkI_Pz?t=4m7s" TargetMode="External"/><Relationship Id="rId2311" Type="http://schemas.openxmlformats.org/officeDocument/2006/relationships/hyperlink" Target="http://pic.twitter.com/gcK35YfwNr" TargetMode="External"/><Relationship Id="rId2409" Type="http://schemas.openxmlformats.org/officeDocument/2006/relationships/hyperlink" Target="http://www.abcdesevilla.es/" TargetMode="External"/><Relationship Id="rId2616" Type="http://schemas.openxmlformats.org/officeDocument/2006/relationships/hyperlink" Target="https://www.facebook.com/pages/Antonio-Burgos/359705347555122?sk=timeline" TargetMode="External"/><Relationship Id="rId64" Type="http://schemas.openxmlformats.org/officeDocument/2006/relationships/hyperlink" Target="http://www.crcc.es/" TargetMode="External"/><Relationship Id="rId1120" Type="http://schemas.openxmlformats.org/officeDocument/2006/relationships/hyperlink" Target="http://ccaa.elpais.com/ccaa/madrid.html" TargetMode="External"/><Relationship Id="rId1218" Type="http://schemas.openxmlformats.org/officeDocument/2006/relationships/hyperlink" Target="https://ift.tt/2G0NEGc" TargetMode="External"/><Relationship Id="rId1425" Type="http://schemas.openxmlformats.org/officeDocument/2006/relationships/hyperlink" Target="https://unbitcoin.wordpress.com/" TargetMode="External"/><Relationship Id="rId1632" Type="http://schemas.openxmlformats.org/officeDocument/2006/relationships/hyperlink" Target="http://www.elconfidencialdigital.com/" TargetMode="External"/><Relationship Id="rId1937" Type="http://schemas.openxmlformats.org/officeDocument/2006/relationships/hyperlink" Target="http://eldiario.es/" TargetMode="External"/><Relationship Id="rId2199" Type="http://schemas.openxmlformats.org/officeDocument/2006/relationships/hyperlink" Target="https://pbs.twimg.com/media/Dtcgx1_WoAAXPjW.jpg" TargetMode="External"/><Relationship Id="rId280" Type="http://schemas.openxmlformats.org/officeDocument/2006/relationships/hyperlink" Target="https://www.eldiario.es/politica/Gobierno-cuestiona-PP-Ciudadanos-Junta_0_843765967.html" TargetMode="External"/><Relationship Id="rId140" Type="http://schemas.openxmlformats.org/officeDocument/2006/relationships/hyperlink" Target="https://contrainformacion.es/tratado-de-utrecht-dos/" TargetMode="External"/><Relationship Id="rId378" Type="http://schemas.openxmlformats.org/officeDocument/2006/relationships/hyperlink" Target="https://es.wikipedia.org/wiki/Sienra" TargetMode="External"/><Relationship Id="rId585" Type="http://schemas.openxmlformats.org/officeDocument/2006/relationships/hyperlink" Target="https://pbs.twimg.com/media/Dtv4ChiVsAMkbid.jpg" TargetMode="External"/><Relationship Id="rId792" Type="http://schemas.openxmlformats.org/officeDocument/2006/relationships/hyperlink" Target="http://veoinfo.com/" TargetMode="External"/><Relationship Id="rId2059" Type="http://schemas.openxmlformats.org/officeDocument/2006/relationships/hyperlink" Target="https://www.eldiario.es/zonacritica/PP-apuesta-extrema-derecha-Moncloa_6_842075804.html" TargetMode="External"/><Relationship Id="rId2266" Type="http://schemas.openxmlformats.org/officeDocument/2006/relationships/hyperlink" Target="https://versospedaneos.blogspot.com.es/?m=1" TargetMode="External"/><Relationship Id="rId2473" Type="http://schemas.openxmlformats.org/officeDocument/2006/relationships/hyperlink" Target="http://www.losreplicantes.com/" TargetMode="External"/><Relationship Id="rId2680" Type="http://schemas.openxmlformats.org/officeDocument/2006/relationships/hyperlink" Target="https://www.instagram.com/pablomm_1/" TargetMode="External"/><Relationship Id="rId6" Type="http://schemas.openxmlformats.org/officeDocument/2006/relationships/hyperlink" Target="http://amiss0709.com/" TargetMode="External"/><Relationship Id="rId238" Type="http://schemas.openxmlformats.org/officeDocument/2006/relationships/hyperlink" Target="https://www.elplural.com/autonomias/andalucia/el-futuro-de-andalucia-se-decide-en-madrid_207700102" TargetMode="External"/><Relationship Id="rId445" Type="http://schemas.openxmlformats.org/officeDocument/2006/relationships/hyperlink" Target="https://twitter.com/ArnaldoOtegi/status/1070790091323383814" TargetMode="External"/><Relationship Id="rId652" Type="http://schemas.openxmlformats.org/officeDocument/2006/relationships/hyperlink" Target="https://elpais.com/politica/2018/11/28/actualidad/1543422955_026078.html?id_externo_rsoc=TW_CC" TargetMode="External"/><Relationship Id="rId1075" Type="http://schemas.openxmlformats.org/officeDocument/2006/relationships/hyperlink" Target="http://youtu.be/ZI3soGTx21o?a" TargetMode="External"/><Relationship Id="rId1282" Type="http://schemas.openxmlformats.org/officeDocument/2006/relationships/hyperlink" Target="http://epmundo.com/" TargetMode="External"/><Relationship Id="rId2126" Type="http://schemas.openxmlformats.org/officeDocument/2006/relationships/hyperlink" Target="https://cantabrisimo.wordpress.com/" TargetMode="External"/><Relationship Id="rId2333" Type="http://schemas.openxmlformats.org/officeDocument/2006/relationships/hyperlink" Target="https://twitter.com/Mhemeroteca/status/1069343743508193280" TargetMode="External"/><Relationship Id="rId2540" Type="http://schemas.openxmlformats.org/officeDocument/2006/relationships/hyperlink" Target="https://twitter.com/pnique/status/1068824835139268608" TargetMode="External"/><Relationship Id="rId2778" Type="http://schemas.openxmlformats.org/officeDocument/2006/relationships/hyperlink" Target="https://ca.wikipedia.org/wiki/Sant_Esteve_de_les_Roures" TargetMode="External"/><Relationship Id="rId305" Type="http://schemas.openxmlformats.org/officeDocument/2006/relationships/hyperlink" Target="https://pbs.twimg.com/media/Dt0G_S-WsAAFbaU.jpg" TargetMode="External"/><Relationship Id="rId512" Type="http://schemas.openxmlformats.org/officeDocument/2006/relationships/hyperlink" Target="https://pbs.twimg.com/media/DtwW7OCWsAEXsT0.jpg" TargetMode="External"/><Relationship Id="rId957" Type="http://schemas.openxmlformats.org/officeDocument/2006/relationships/hyperlink" Target="https://www.formulatv.com/noticias/pedro-sanchez-entrevista-piqueras-culpa-pp-auge-vox-86708/" TargetMode="External"/><Relationship Id="rId1142" Type="http://schemas.openxmlformats.org/officeDocument/2006/relationships/hyperlink" Target="https://twitter.com/pnique/status/1070258076874362880" TargetMode="External"/><Relationship Id="rId1587" Type="http://schemas.openxmlformats.org/officeDocument/2006/relationships/hyperlink" Target="https://pbs.twimg.com/media/DtktvWQXgAAjlqB.jpg" TargetMode="External"/><Relationship Id="rId1794" Type="http://schemas.openxmlformats.org/officeDocument/2006/relationships/hyperlink" Target="https://www.youtube.com/channel/UCzAeV22GnQxwUBokDOEyb4A" TargetMode="External"/><Relationship Id="rId2400" Type="http://schemas.openxmlformats.org/officeDocument/2006/relationships/hyperlink" Target="http://nyan.cat/pirate" TargetMode="External"/><Relationship Id="rId2638" Type="http://schemas.openxmlformats.org/officeDocument/2006/relationships/hyperlink" Target="https://ift.tt/2Q6W17S" TargetMode="External"/><Relationship Id="rId86" Type="http://schemas.openxmlformats.org/officeDocument/2006/relationships/hyperlink" Target="http://www.elmundo.es/espana.html" TargetMode="External"/><Relationship Id="rId817" Type="http://schemas.openxmlformats.org/officeDocument/2006/relationships/hyperlink" Target="http://bit.ly/2UjhCbr" TargetMode="External"/><Relationship Id="rId1002" Type="http://schemas.openxmlformats.org/officeDocument/2006/relationships/hyperlink" Target="https://www.elplural.com/politica/vox-exige-a-pp-y-cs-que-andalucia-deje-de-ser-una-realidad-nacional_207636102" TargetMode="External"/><Relationship Id="rId1447" Type="http://schemas.openxmlformats.org/officeDocument/2006/relationships/hyperlink" Target="https://pbs.twimg.com/media/DtlzkWWW0AUyOZU.jpg" TargetMode="External"/><Relationship Id="rId1654" Type="http://schemas.openxmlformats.org/officeDocument/2006/relationships/hyperlink" Target="https://pbs.twimg.com/media/DtjvYMTWkAA7w4K.jpg" TargetMode="External"/><Relationship Id="rId1861" Type="http://schemas.openxmlformats.org/officeDocument/2006/relationships/hyperlink" Target="http://mysouthofnonorth.wordpress.com/" TargetMode="External"/><Relationship Id="rId2705" Type="http://schemas.openxmlformats.org/officeDocument/2006/relationships/hyperlink" Target="http://www.mandarinamagazine.net/" TargetMode="External"/><Relationship Id="rId1307" Type="http://schemas.openxmlformats.org/officeDocument/2006/relationships/hyperlink" Target="http://epmundo.com/2018/contundente-pablo-casado-defiende-la-inviolabilidad-del-rey/" TargetMode="External"/><Relationship Id="rId1514" Type="http://schemas.openxmlformats.org/officeDocument/2006/relationships/hyperlink" Target="https://twitter.com/i/moments/827568772739391489" TargetMode="External"/><Relationship Id="rId1721" Type="http://schemas.openxmlformats.org/officeDocument/2006/relationships/hyperlink" Target="https://www.facebook.com/jose.ferreira.9400/posts/1942596342444100" TargetMode="External"/><Relationship Id="rId1959" Type="http://schemas.openxmlformats.org/officeDocument/2006/relationships/hyperlink" Target="https://instagram.com/_victor_hurtado/" TargetMode="External"/><Relationship Id="rId13" Type="http://schemas.openxmlformats.org/officeDocument/2006/relationships/hyperlink" Target="http://www.librediariodigital.net/texto-diario/mostrar/1207785/pablo-casado-hare-posible-impedir-salario-minimo-interprofesional-suba-900-euros" TargetMode="External"/><Relationship Id="rId1819" Type="http://schemas.openxmlformats.org/officeDocument/2006/relationships/hyperlink" Target="https://pbs.twimg.com/media/DtgjkcWWoAIMSb3.jpg" TargetMode="External"/><Relationship Id="rId2190" Type="http://schemas.openxmlformats.org/officeDocument/2006/relationships/hyperlink" Target="http://www.youtube.com/TheRtas" TargetMode="External"/><Relationship Id="rId2288" Type="http://schemas.openxmlformats.org/officeDocument/2006/relationships/hyperlink" Target="http://instagram.com/arandacl11" TargetMode="External"/><Relationship Id="rId2495" Type="http://schemas.openxmlformats.org/officeDocument/2006/relationships/hyperlink" Target="http://page.is/victoria-ross" TargetMode="External"/><Relationship Id="rId162" Type="http://schemas.openxmlformats.org/officeDocument/2006/relationships/hyperlink" Target="https://m.facebook.com/?_rdr" TargetMode="External"/><Relationship Id="rId467" Type="http://schemas.openxmlformats.org/officeDocument/2006/relationships/hyperlink" Target="https://pbs.twimg.com/media/DtwypkDWoAAVEd4.jpg" TargetMode="External"/><Relationship Id="rId1097" Type="http://schemas.openxmlformats.org/officeDocument/2006/relationships/hyperlink" Target="http://youtu.be/-Jis-oq4MV0?a" TargetMode="External"/><Relationship Id="rId2050" Type="http://schemas.openxmlformats.org/officeDocument/2006/relationships/hyperlink" Target="http://www.youtube.com/watch?v=zHOioLy8Uh8" TargetMode="External"/><Relationship Id="rId2148" Type="http://schemas.openxmlformats.org/officeDocument/2006/relationships/hyperlink" Target="http://www.ramblalibre.com/" TargetMode="External"/><Relationship Id="rId674" Type="http://schemas.openxmlformats.org/officeDocument/2006/relationships/hyperlink" Target="http://www.clinica-vega.com/" TargetMode="External"/><Relationship Id="rId881" Type="http://schemas.openxmlformats.org/officeDocument/2006/relationships/hyperlink" Target="https://www.aplausos.es/movil/" TargetMode="External"/><Relationship Id="rId979" Type="http://schemas.openxmlformats.org/officeDocument/2006/relationships/hyperlink" Target="https://www.eldiario.es/_323ad572" TargetMode="External"/><Relationship Id="rId2355" Type="http://schemas.openxmlformats.org/officeDocument/2006/relationships/hyperlink" Target="http://pic.twitter.com/QY5c2SZGef" TargetMode="External"/><Relationship Id="rId2562" Type="http://schemas.openxmlformats.org/officeDocument/2006/relationships/hyperlink" Target="https://www.elmundo.es/espana/2018/12/02/5c02dc68fc6c83e67a8b45a2.html" TargetMode="External"/><Relationship Id="rId327" Type="http://schemas.openxmlformats.org/officeDocument/2006/relationships/hyperlink" Target="https://pbs.twimg.com/media/DtzbPZgWsAAjWzV.jpg" TargetMode="External"/><Relationship Id="rId534" Type="http://schemas.openxmlformats.org/officeDocument/2006/relationships/hyperlink" Target="http://noticiarioespanol.com/" TargetMode="External"/><Relationship Id="rId741" Type="http://schemas.openxmlformats.org/officeDocument/2006/relationships/hyperlink" Target="http://bit.ly/2BUIsQ4" TargetMode="External"/><Relationship Id="rId839" Type="http://schemas.openxmlformats.org/officeDocument/2006/relationships/hyperlink" Target="http://noticiariocentrodeandalucia.wordpress.com/" TargetMode="External"/><Relationship Id="rId1164" Type="http://schemas.openxmlformats.org/officeDocument/2006/relationships/hyperlink" Target="http://www.sevilla24horas.com/" TargetMode="External"/><Relationship Id="rId1371" Type="http://schemas.openxmlformats.org/officeDocument/2006/relationships/hyperlink" Target="https://pbs.twimg.com/media/DtmYb2cX4AACTsP.jpg" TargetMode="External"/><Relationship Id="rId1469" Type="http://schemas.openxmlformats.org/officeDocument/2006/relationships/hyperlink" Target="http://epmundo.com/2018/contundente-pablo-casado-defiende-la-inviolabilidad-del-rey/?utm_source=twitter&amp;utm_medium=social&amp;utm_campaign=ReviveOldPost" TargetMode="External"/><Relationship Id="rId2008" Type="http://schemas.openxmlformats.org/officeDocument/2006/relationships/hyperlink" Target="https://www.facebook.com/nuevasgeneraciones.calahorra/posts/927945760709507" TargetMode="External"/><Relationship Id="rId2215" Type="http://schemas.openxmlformats.org/officeDocument/2006/relationships/hyperlink" Target="https://youtu.be/dEjgqp5sDps" TargetMode="External"/><Relationship Id="rId2422" Type="http://schemas.openxmlformats.org/officeDocument/2006/relationships/hyperlink" Target="http://untristetigre.blogspot.com/" TargetMode="External"/><Relationship Id="rId601" Type="http://schemas.openxmlformats.org/officeDocument/2006/relationships/hyperlink" Target="https://www.eldiario.es/_324581a7" TargetMode="External"/><Relationship Id="rId1024" Type="http://schemas.openxmlformats.org/officeDocument/2006/relationships/hyperlink" Target="http://www.diariodeteruel.es/" TargetMode="External"/><Relationship Id="rId1231" Type="http://schemas.openxmlformats.org/officeDocument/2006/relationships/hyperlink" Target="http://www.elmundo.es/social/usuarios/hector_sanjuan/" TargetMode="External"/><Relationship Id="rId1676" Type="http://schemas.openxmlformats.org/officeDocument/2006/relationships/hyperlink" Target="http://www.madridesnoticia.es/" TargetMode="External"/><Relationship Id="rId1883" Type="http://schemas.openxmlformats.org/officeDocument/2006/relationships/hyperlink" Target="https://www.elmundo.es/espana/2018/12/03/5c05442321efa0cc3d8b46bc.html" TargetMode="External"/><Relationship Id="rId2727" Type="http://schemas.openxmlformats.org/officeDocument/2006/relationships/hyperlink" Target="http://feedproxy.google.com/~r/finofilipino/cdiM/~3/Esh8qV4kUF4/" TargetMode="External"/><Relationship Id="rId906" Type="http://schemas.openxmlformats.org/officeDocument/2006/relationships/hyperlink" Target="https://www.larazon.es/espana/defender-la-constitucion-por-pablo-casado-FP20854122" TargetMode="External"/><Relationship Id="rId1329" Type="http://schemas.openxmlformats.org/officeDocument/2006/relationships/hyperlink" Target="https://pbs.twimg.com/media/DtnA8JvU8AYTLvt.jpg" TargetMode="External"/><Relationship Id="rId1536" Type="http://schemas.openxmlformats.org/officeDocument/2006/relationships/hyperlink" Target="https://pbs.twimg.com/media/Dtk0GG0XgAExTPe.jpg" TargetMode="External"/><Relationship Id="rId1743" Type="http://schemas.openxmlformats.org/officeDocument/2006/relationships/hyperlink" Target="https://www.elmundo.es/espana/2018/12/03/5c05442321efa0cc3d8b46bc.html" TargetMode="External"/><Relationship Id="rId1950" Type="http://schemas.openxmlformats.org/officeDocument/2006/relationships/hyperlink" Target="https://pbs.twimg.com/media/DtcUJt1WsAE_0ey.jpg" TargetMode="External"/><Relationship Id="rId35" Type="http://schemas.openxmlformats.org/officeDocument/2006/relationships/hyperlink" Target="http://www.obosquemaxico.es/" TargetMode="External"/><Relationship Id="rId1603" Type="http://schemas.openxmlformats.org/officeDocument/2006/relationships/hyperlink" Target="http://instagram.com/igfenoll" TargetMode="External"/><Relationship Id="rId1810" Type="http://schemas.openxmlformats.org/officeDocument/2006/relationships/hyperlink" Target="https://www.elmundo.es/espana/2018/12/03/5c05442321efa0cc3d8b46bc.html" TargetMode="External"/><Relationship Id="rId184" Type="http://schemas.openxmlformats.org/officeDocument/2006/relationships/hyperlink" Target="http://theansiblog.wordpress.com/" TargetMode="External"/><Relationship Id="rId391" Type="http://schemas.openxmlformats.org/officeDocument/2006/relationships/hyperlink" Target="https://pbs.twimg.com/media/DtyBaCfXgAAXamd.jpg" TargetMode="External"/><Relationship Id="rId1908" Type="http://schemas.openxmlformats.org/officeDocument/2006/relationships/hyperlink" Target="https://www.elplural.com/politica/pablo-casado-debe-gobernar-la-lista-mas-votada-porque-los-ciudadanos-deciden-con-su-voto_207439102_amp" TargetMode="External"/><Relationship Id="rId2072" Type="http://schemas.openxmlformats.org/officeDocument/2006/relationships/hyperlink" Target="http://www.facebook.com/ToninoGuitian" TargetMode="External"/><Relationship Id="rId251" Type="http://schemas.openxmlformats.org/officeDocument/2006/relationships/hyperlink" Target="https://twitter.com/FonsiLoaiza/status/1070716130220797954" TargetMode="External"/><Relationship Id="rId489" Type="http://schemas.openxmlformats.org/officeDocument/2006/relationships/hyperlink" Target="https://m.eldiario.es/_324580bb" TargetMode="External"/><Relationship Id="rId696" Type="http://schemas.openxmlformats.org/officeDocument/2006/relationships/hyperlink" Target="https://twitter.com/LlopisMarta95/status/1070685465836208128" TargetMode="External"/><Relationship Id="rId2377" Type="http://schemas.openxmlformats.org/officeDocument/2006/relationships/hyperlink" Target="https://elpais.com/politica/2018/12/02/actualidad/1543707833_790859.html" TargetMode="External"/><Relationship Id="rId2584" Type="http://schemas.openxmlformats.org/officeDocument/2006/relationships/hyperlink" Target="https://kaosenlared.net/los-buenos-modales-de-pablo-casado/" TargetMode="External"/><Relationship Id="rId2791" Type="http://schemas.openxmlformats.org/officeDocument/2006/relationships/hyperlink" Target="http://www.huffingtonpost.es/" TargetMode="External"/><Relationship Id="rId349" Type="http://schemas.openxmlformats.org/officeDocument/2006/relationships/hyperlink" Target="http://ucarsevilla.wordpress.com/" TargetMode="External"/><Relationship Id="rId556" Type="http://schemas.openxmlformats.org/officeDocument/2006/relationships/hyperlink" Target="https://www.libertaddigital.com/opinion/javier-fernandez-lasquetty/por-que-voy-a-votar-a-pablo-casado-85500/" TargetMode="External"/><Relationship Id="rId763" Type="http://schemas.openxmlformats.org/officeDocument/2006/relationships/hyperlink" Target="https://www.larazon.es/espana/defender-la-constitucion-por-pablo-casado-FP20854122" TargetMode="External"/><Relationship Id="rId1186" Type="http://schemas.openxmlformats.org/officeDocument/2006/relationships/hyperlink" Target="http://dlvr.it/Qsscfv" TargetMode="External"/><Relationship Id="rId1393" Type="http://schemas.openxmlformats.org/officeDocument/2006/relationships/hyperlink" Target="http://esperanzaescribano.com/" TargetMode="External"/><Relationship Id="rId2237" Type="http://schemas.openxmlformats.org/officeDocument/2006/relationships/hyperlink" Target="http://andywarrol.tumblr.com/" TargetMode="External"/><Relationship Id="rId2444" Type="http://schemas.openxmlformats.org/officeDocument/2006/relationships/hyperlink" Target="https://www.eldiario.es/escolar/mentiras-Pablo-Casado-Gurtel-Irak_6_828777140.html" TargetMode="External"/><Relationship Id="rId111" Type="http://schemas.openxmlformats.org/officeDocument/2006/relationships/hyperlink" Target="http://mediterraneo.diario16.com/la-ignorancia-pablo-casado-no-sabe-una-republica/" TargetMode="External"/><Relationship Id="rId209" Type="http://schemas.openxmlformats.org/officeDocument/2006/relationships/hyperlink" Target="https://twitter.com/pnique/status/1068824835139268608" TargetMode="External"/><Relationship Id="rId416" Type="http://schemas.openxmlformats.org/officeDocument/2006/relationships/hyperlink" Target="https://www.eldiario.es/_324580bb" TargetMode="External"/><Relationship Id="rId970" Type="http://schemas.openxmlformats.org/officeDocument/2006/relationships/hyperlink" Target="https://www.libertaddigital.com/espana/politica/2018-12-06/javier-fernandez-lasquetty-nuevo-jefe-de-gabinete-de-casado-1276629457/" TargetMode="External"/><Relationship Id="rId1046" Type="http://schemas.openxmlformats.org/officeDocument/2006/relationships/hyperlink" Target="http://bit.ly/EP_Venezuela" TargetMode="External"/><Relationship Id="rId1253" Type="http://schemas.openxmlformats.org/officeDocument/2006/relationships/hyperlink" Target="http://dlvr.it/Qss9JJ" TargetMode="External"/><Relationship Id="rId1698" Type="http://schemas.openxmlformats.org/officeDocument/2006/relationships/hyperlink" Target="https://tv.libertaddigital.com/videos/2018-12-03/pablo-casado-defiende-el-pacto-del-pp-con-vox-6067298.html" TargetMode="External"/><Relationship Id="rId2651" Type="http://schemas.openxmlformats.org/officeDocument/2006/relationships/hyperlink" Target="http://www.cadenaser.com/" TargetMode="External"/><Relationship Id="rId2749" Type="http://schemas.openxmlformats.org/officeDocument/2006/relationships/hyperlink" Target="https://www.huffingtonpost.es/2018/12/01/la-comentada-cobra-de-pablo-casado-al-presidente-del-pp-de-granada_a_23605887/" TargetMode="External"/><Relationship Id="rId623" Type="http://schemas.openxmlformats.org/officeDocument/2006/relationships/hyperlink" Target="https://pbs.twimg.com/media/Dtvro-_X4AMrGFp.jpg" TargetMode="External"/><Relationship Id="rId830" Type="http://schemas.openxmlformats.org/officeDocument/2006/relationships/hyperlink" Target="https://pbs.twimg.com/media/DtusDVAU0AA3vin.jpg" TargetMode="External"/><Relationship Id="rId928" Type="http://schemas.openxmlformats.org/officeDocument/2006/relationships/hyperlink" Target="https://www.libertaddigital.com/espana/politica/2018-12-06/javier-fernandez-lasquetty-nuevo-jefe-de-gabinete-de-casado-1276629457/" TargetMode="External"/><Relationship Id="rId1460" Type="http://schemas.openxmlformats.org/officeDocument/2006/relationships/hyperlink" Target="https://www.elmundo.es/espana/2018/12/04/5c067532fc6c83df478b45a2.html" TargetMode="External"/><Relationship Id="rId1558" Type="http://schemas.openxmlformats.org/officeDocument/2006/relationships/hyperlink" Target="https://pbs.twimg.com/media/Dtk7ou8XgAA-rSn.jpg" TargetMode="External"/><Relationship Id="rId1765" Type="http://schemas.openxmlformats.org/officeDocument/2006/relationships/hyperlink" Target="http://pic.twitter.com/77Hiu2Tb44" TargetMode="External"/><Relationship Id="rId2304" Type="http://schemas.openxmlformats.org/officeDocument/2006/relationships/hyperlink" Target="http://cervinegra.com/" TargetMode="External"/><Relationship Id="rId2511" Type="http://schemas.openxmlformats.org/officeDocument/2006/relationships/hyperlink" Target="https://twitter.com/Nicormg/status/1069042779563659264" TargetMode="External"/><Relationship Id="rId2609" Type="http://schemas.openxmlformats.org/officeDocument/2006/relationships/hyperlink" Target="https://www.cabronews.com/pablo-casado-propone-que-la-loteria-de-navidad-le-toque-solo-a-los-ricos/" TargetMode="External"/><Relationship Id="rId57" Type="http://schemas.openxmlformats.org/officeDocument/2006/relationships/hyperlink" Target="https://www.elconfidencial.com/mundo/2018-12-07/alemania-akk-merkel-afd-ultraderecha_1692906/" TargetMode="External"/><Relationship Id="rId1113" Type="http://schemas.openxmlformats.org/officeDocument/2006/relationships/hyperlink" Target="http://www.lextres.com/" TargetMode="External"/><Relationship Id="rId1320" Type="http://schemas.openxmlformats.org/officeDocument/2006/relationships/hyperlink" Target="https://www.youtube.com/channel/UCl-_iYBzcBZvjEoHp81MlUg" TargetMode="External"/><Relationship Id="rId1418" Type="http://schemas.openxmlformats.org/officeDocument/2006/relationships/hyperlink" Target="http://www.eldebatedehoy.es/" TargetMode="External"/><Relationship Id="rId1972" Type="http://schemas.openxmlformats.org/officeDocument/2006/relationships/hyperlink" Target="http://cadenaser.com/m/autor/maria_jesus_guemes_moragon/a/" TargetMode="External"/><Relationship Id="rId1625" Type="http://schemas.openxmlformats.org/officeDocument/2006/relationships/hyperlink" Target="https://es.wikipedia.org/wiki/Antonio_Mart%C3%ADnez_Ron" TargetMode="External"/><Relationship Id="rId1832" Type="http://schemas.openxmlformats.org/officeDocument/2006/relationships/hyperlink" Target="https://www.elmundo.es/espana/2018/12/03/5c05442321efa0cc3d8b46bc.html" TargetMode="External"/><Relationship Id="rId2094" Type="http://schemas.openxmlformats.org/officeDocument/2006/relationships/hyperlink" Target="https://www.rojosevillano.es/" TargetMode="External"/><Relationship Id="rId273" Type="http://schemas.openxmlformats.org/officeDocument/2006/relationships/hyperlink" Target="http://www.gethi.org/" TargetMode="External"/><Relationship Id="rId480" Type="http://schemas.openxmlformats.org/officeDocument/2006/relationships/hyperlink" Target="https://blogs.publico.es/strambotic/2018/12/frases-pablo-casado/" TargetMode="External"/><Relationship Id="rId2161" Type="http://schemas.openxmlformats.org/officeDocument/2006/relationships/hyperlink" Target="https://twitter.com/j_martinezrubio/status/1069359526766366722?s=21" TargetMode="External"/><Relationship Id="rId2399" Type="http://schemas.openxmlformats.org/officeDocument/2006/relationships/hyperlink" Target="https://www.eldiario.es/carnecruda/lo-llevamos-crudo/vida-regalada-Pablo-Casado_6_817928232.html" TargetMode="External"/><Relationship Id="rId133" Type="http://schemas.openxmlformats.org/officeDocument/2006/relationships/hyperlink" Target="https://ift.tt/2PpQCDn" TargetMode="External"/><Relationship Id="rId340" Type="http://schemas.openxmlformats.org/officeDocument/2006/relationships/hyperlink" Target="https://www.eldiario.es/_324580bb" TargetMode="External"/><Relationship Id="rId578" Type="http://schemas.openxmlformats.org/officeDocument/2006/relationships/hyperlink" Target="http://20minutos.es/" TargetMode="External"/><Relationship Id="rId785" Type="http://schemas.openxmlformats.org/officeDocument/2006/relationships/hyperlink" Target="http://inmoavery.com/" TargetMode="External"/><Relationship Id="rId992" Type="http://schemas.openxmlformats.org/officeDocument/2006/relationships/hyperlink" Target="http://porelpaseodelvendaval.blogspot.com/" TargetMode="External"/><Relationship Id="rId2021" Type="http://schemas.openxmlformats.org/officeDocument/2006/relationships/hyperlink" Target="http://telemd.es/fl85q2" TargetMode="External"/><Relationship Id="rId2259" Type="http://schemas.openxmlformats.org/officeDocument/2006/relationships/hyperlink" Target="http://bit.ly/2KLQiy7" TargetMode="External"/><Relationship Id="rId2466" Type="http://schemas.openxmlformats.org/officeDocument/2006/relationships/hyperlink" Target="http://instagram.com/comechenator" TargetMode="External"/><Relationship Id="rId2673" Type="http://schemas.openxmlformats.org/officeDocument/2006/relationships/hyperlink" Target="https://t.me/AitorRiveiro" TargetMode="External"/><Relationship Id="rId200" Type="http://schemas.openxmlformats.org/officeDocument/2006/relationships/hyperlink" Target="http://pic.twitter.com/er2HTmAwHi" TargetMode="External"/><Relationship Id="rId438" Type="http://schemas.openxmlformats.org/officeDocument/2006/relationships/hyperlink" Target="https://m.eldiario.es/_324581a7" TargetMode="External"/><Relationship Id="rId645" Type="http://schemas.openxmlformats.org/officeDocument/2006/relationships/hyperlink" Target="http://www.vozpopuli.com/" TargetMode="External"/><Relationship Id="rId852" Type="http://schemas.openxmlformats.org/officeDocument/2006/relationships/hyperlink" Target="https://www.jotdown.es/2018/02/murcia-una-escena-teatral-con-denominacion-de-origen/" TargetMode="External"/><Relationship Id="rId1068" Type="http://schemas.openxmlformats.org/officeDocument/2006/relationships/hyperlink" Target="http://page.is/larevuelo53" TargetMode="External"/><Relationship Id="rId1275" Type="http://schemas.openxmlformats.org/officeDocument/2006/relationships/hyperlink" Target="http://epmundo.com/2018/contundente-pablo-casado-defiende-la-inviolabilidad-del-rey/" TargetMode="External"/><Relationship Id="rId1482" Type="http://schemas.openxmlformats.org/officeDocument/2006/relationships/hyperlink" Target="https://manuelgonzalezperiodista.wordpress.com/" TargetMode="External"/><Relationship Id="rId2119" Type="http://schemas.openxmlformats.org/officeDocument/2006/relationships/hyperlink" Target="http://somosecd.com/oo7h87" TargetMode="External"/><Relationship Id="rId2326" Type="http://schemas.openxmlformats.org/officeDocument/2006/relationships/hyperlink" Target="http://www.instagram.com/dannysvensonn" TargetMode="External"/><Relationship Id="rId2533" Type="http://schemas.openxmlformats.org/officeDocument/2006/relationships/hyperlink" Target="https://pbs.twimg.com/media/DtaH-mPV4AIh1io.jpg" TargetMode="External"/><Relationship Id="rId2740" Type="http://schemas.openxmlformats.org/officeDocument/2006/relationships/hyperlink" Target="https://www.elmundo.es/espana/2018/12/01/5c01b033fc6c8300438b46f5.html" TargetMode="External"/><Relationship Id="rId505" Type="http://schemas.openxmlformats.org/officeDocument/2006/relationships/hyperlink" Target="http://www.amgarciac.es/" TargetMode="External"/><Relationship Id="rId712" Type="http://schemas.openxmlformats.org/officeDocument/2006/relationships/hyperlink" Target="https://www.larazon.es/espana/defender-la-constitucion-por-pablo-casado-FP20854122" TargetMode="External"/><Relationship Id="rId1135" Type="http://schemas.openxmlformats.org/officeDocument/2006/relationships/hyperlink" Target="http://copiajuridica.es/2018/12/05/echenique-disparata-una-vez-masculpando-de-la-sentencia-de-la-manada-a-casado-y-vox" TargetMode="External"/><Relationship Id="rId1342" Type="http://schemas.openxmlformats.org/officeDocument/2006/relationships/hyperlink" Target="https://www.esdiario.com/300249333/Sanchez-da-lecciones-al-PP-y-Cs-sobre-socios-indeseables-en-el-colmo-del-descaro.html" TargetMode="External"/><Relationship Id="rId1787" Type="http://schemas.openxmlformats.org/officeDocument/2006/relationships/hyperlink" Target="http://www.lagacetadealmeria.com/" TargetMode="External"/><Relationship Id="rId1994" Type="http://schemas.openxmlformats.org/officeDocument/2006/relationships/hyperlink" Target="https://www.elplural.com/politica/pablo-casado-debe-gobernar-la-lista-mas-votada-porque-los-ciudadanos-deciden-con-su-voto_207439102" TargetMode="External"/><Relationship Id="rId79" Type="http://schemas.openxmlformats.org/officeDocument/2006/relationships/hyperlink" Target="https://ift.tt/2Ea0pvC" TargetMode="External"/><Relationship Id="rId1202" Type="http://schemas.openxmlformats.org/officeDocument/2006/relationships/hyperlink" Target="http://page.is/ppapanol" TargetMode="External"/><Relationship Id="rId1647" Type="http://schemas.openxmlformats.org/officeDocument/2006/relationships/hyperlink" Target="http://cadenaser.com/ser/2018/12/04/politica/1543911105_662992.html" TargetMode="External"/><Relationship Id="rId1854" Type="http://schemas.openxmlformats.org/officeDocument/2006/relationships/hyperlink" Target="https://kaosenlared.net/tratado-de-utrecht-dos/" TargetMode="External"/><Relationship Id="rId2600" Type="http://schemas.openxmlformats.org/officeDocument/2006/relationships/hyperlink" Target="https://sevilla.abc.es/opinion/sevi-autonomicas-o-generales-201812020724_noticia.html" TargetMode="External"/><Relationship Id="rId1507" Type="http://schemas.openxmlformats.org/officeDocument/2006/relationships/hyperlink" Target="https://www.europapress.es/nacional/noticia-casado-podemos-lleva-fuera-constitucion-varios-anos-nadie-dicho-nada-20181204155944.html" TargetMode="External"/><Relationship Id="rId1714" Type="http://schemas.openxmlformats.org/officeDocument/2006/relationships/hyperlink" Target="http://elregresodejuandemairena.blogspot.com.es/" TargetMode="External"/><Relationship Id="rId295" Type="http://schemas.openxmlformats.org/officeDocument/2006/relationships/hyperlink" Target="https://www.latostadora.com/elninjadelasgalletas/" TargetMode="External"/><Relationship Id="rId1921" Type="http://schemas.openxmlformats.org/officeDocument/2006/relationships/hyperlink" Target="https://www.20minutos.es/noticia/3507418/0/pablo-casado-pp-elecciones-andalucia-pactos-ciudadanos-vox/" TargetMode="External"/><Relationship Id="rId2183" Type="http://schemas.openxmlformats.org/officeDocument/2006/relationships/hyperlink" Target="http://www.instagram.com/marina__nder" TargetMode="External"/><Relationship Id="rId2390" Type="http://schemas.openxmlformats.org/officeDocument/2006/relationships/hyperlink" Target="https://kathwardolf.tumblr.com/" TargetMode="External"/><Relationship Id="rId2488" Type="http://schemas.openxmlformats.org/officeDocument/2006/relationships/hyperlink" Target="http://pic.twitter.com/AZkYuCZfmG" TargetMode="External"/><Relationship Id="rId155" Type="http://schemas.openxmlformats.org/officeDocument/2006/relationships/hyperlink" Target="http://mediterraneo.diario16.com/la-ignorancia-pablo-casado-no-sabe-una-republica/" TargetMode="External"/><Relationship Id="rId362" Type="http://schemas.openxmlformats.org/officeDocument/2006/relationships/hyperlink" Target="https://m.eldiario.es/politica/Casado-Lasquetty-hospitales-Madrid-PP_0_843416091.html" TargetMode="External"/><Relationship Id="rId1297" Type="http://schemas.openxmlformats.org/officeDocument/2006/relationships/hyperlink" Target="http://epmundo.com/2018/contundente-pablo-casado-defiende-la-inviolabilidad-del-rey/" TargetMode="External"/><Relationship Id="rId2043" Type="http://schemas.openxmlformats.org/officeDocument/2006/relationships/hyperlink" Target="http://www.prnoticias.com/" TargetMode="External"/><Relationship Id="rId2250" Type="http://schemas.openxmlformats.org/officeDocument/2006/relationships/hyperlink" Target="https://curiouscat.me/Nxlia20" TargetMode="External"/><Relationship Id="rId2695" Type="http://schemas.openxmlformats.org/officeDocument/2006/relationships/hyperlink" Target="http://ccoojusticiasturias.blogspot.com/" TargetMode="External"/><Relationship Id="rId222" Type="http://schemas.openxmlformats.org/officeDocument/2006/relationships/hyperlink" Target="https://www.youtube.com/channel/UCzAeV22GnQxwUBokDOEyb4A" TargetMode="External"/><Relationship Id="rId667" Type="http://schemas.openxmlformats.org/officeDocument/2006/relationships/hyperlink" Target="http://bit.ly/2QBkBNv" TargetMode="External"/><Relationship Id="rId874" Type="http://schemas.openxmlformats.org/officeDocument/2006/relationships/hyperlink" Target="http://www.ppcv.com/" TargetMode="External"/><Relationship Id="rId2110" Type="http://schemas.openxmlformats.org/officeDocument/2006/relationships/hyperlink" Target="http://j.mp/2RzY2pS" TargetMode="External"/><Relationship Id="rId2348" Type="http://schemas.openxmlformats.org/officeDocument/2006/relationships/hyperlink" Target="http://j.mp/2U85oCG" TargetMode="External"/><Relationship Id="rId2555" Type="http://schemas.openxmlformats.org/officeDocument/2006/relationships/hyperlink" Target="https://www.elmundo.es/espana/2018/12/02/5c02dc68fc6c83e67a8b45a2.html" TargetMode="External"/><Relationship Id="rId2762" Type="http://schemas.openxmlformats.org/officeDocument/2006/relationships/hyperlink" Target="https://www.huffingtonpost.es/2018/12/01/la-comentada-cobra-de-pablo-casado-al-presidente-del-pp-de-granada_a_23605887/" TargetMode="External"/><Relationship Id="rId527" Type="http://schemas.openxmlformats.org/officeDocument/2006/relationships/hyperlink" Target="https://www.eldiario.es/_324580bb" TargetMode="External"/><Relationship Id="rId734" Type="http://schemas.openxmlformats.org/officeDocument/2006/relationships/hyperlink" Target="https://buff.ly/2RDZ5EW" TargetMode="External"/><Relationship Id="rId941" Type="http://schemas.openxmlformats.org/officeDocument/2006/relationships/hyperlink" Target="https://www.formulatv.com/noticias/pedro-sanchez-entrevista-piqueras-culpa-pp-auge-vox-86708/" TargetMode="External"/><Relationship Id="rId1157" Type="http://schemas.openxmlformats.org/officeDocument/2006/relationships/hyperlink" Target="http://www.elmundo.es/espana/2018/12/05/5c06eb2afc6c839b5f8b4622.html" TargetMode="External"/><Relationship Id="rId1364" Type="http://schemas.openxmlformats.org/officeDocument/2006/relationships/hyperlink" Target="http://epmundo.com/2018/contundente-pablo-casado-defiende-la-inviolabilidad-del-rey/?utm_source=twitter&amp;utm_medium=social&amp;utm_campaign=ReviveOldPost" TargetMode="External"/><Relationship Id="rId1571" Type="http://schemas.openxmlformats.org/officeDocument/2006/relationships/hyperlink" Target="https://pbs.twimg.com/media/Dtk00HTXQAAncSL.jpg" TargetMode="External"/><Relationship Id="rId2208" Type="http://schemas.openxmlformats.org/officeDocument/2006/relationships/hyperlink" Target="http://poruncadizmejor.blogspot.com.es/" TargetMode="External"/><Relationship Id="rId2415" Type="http://schemas.openxmlformats.org/officeDocument/2006/relationships/hyperlink" Target="https://pbs.twimg.com/media/DtcCAABXQAMAlbs.jpg" TargetMode="External"/><Relationship Id="rId2622" Type="http://schemas.openxmlformats.org/officeDocument/2006/relationships/hyperlink" Target="https://pbs.twimg.com/media/DtZF_xxW0AA2W75.jpg" TargetMode="External"/><Relationship Id="rId70" Type="http://schemas.openxmlformats.org/officeDocument/2006/relationships/hyperlink" Target="http://www.elisadocio.com/" TargetMode="External"/><Relationship Id="rId801" Type="http://schemas.openxmlformats.org/officeDocument/2006/relationships/hyperlink" Target="https://www.vozpopuli.com/politica/Casado-Reformar-Constitucion-puertas-Republica_0_1197480496.html" TargetMode="External"/><Relationship Id="rId1017" Type="http://schemas.openxmlformats.org/officeDocument/2006/relationships/hyperlink" Target="http://pic.twitter.com/jHpydWaHcU" TargetMode="External"/><Relationship Id="rId1224" Type="http://schemas.openxmlformats.org/officeDocument/2006/relationships/hyperlink" Target="https://pbs.twimg.com/media/Dto0lynW0AARZIU.jpg" TargetMode="External"/><Relationship Id="rId1431" Type="http://schemas.openxmlformats.org/officeDocument/2006/relationships/hyperlink" Target="https://www.linkedin.com/in/manuelpuentesrojas/" TargetMode="External"/><Relationship Id="rId1669" Type="http://schemas.openxmlformats.org/officeDocument/2006/relationships/hyperlink" Target="https://www.elmundo.es/espana/2018/12/04/5c05a39afc6c83c0748b4763.html" TargetMode="External"/><Relationship Id="rId1876" Type="http://schemas.openxmlformats.org/officeDocument/2006/relationships/hyperlink" Target="https://www.elconfidencial.com/espana/2018-10-08/pablo-casado-vox-santiago-abascal-pedro-sanchez_1627299/" TargetMode="External"/><Relationship Id="rId1529" Type="http://schemas.openxmlformats.org/officeDocument/2006/relationships/hyperlink" Target="http://pic.twitter.com/j1UqiWR0Lk" TargetMode="External"/><Relationship Id="rId1736" Type="http://schemas.openxmlformats.org/officeDocument/2006/relationships/hyperlink" Target="https://www.elmundo.es/espana/2018/12/03/5c05442321efa0cc3d8b46bc.html" TargetMode="External"/><Relationship Id="rId1943" Type="http://schemas.openxmlformats.org/officeDocument/2006/relationships/hyperlink" Target="https://m.eldiario.es/_30f5150b" TargetMode="External"/><Relationship Id="rId28" Type="http://schemas.openxmlformats.org/officeDocument/2006/relationships/hyperlink" Target="https://www.elplural.com/politica/caja-b-partido-popular-congreso-diputados-comision-investigacion-villarejo-pablo-casado_207693102" TargetMode="External"/><Relationship Id="rId1803" Type="http://schemas.openxmlformats.org/officeDocument/2006/relationships/hyperlink" Target="https://www.elmundo.es/espana/2018/12/03/5c05442321efa0cc3d8b46bc.html" TargetMode="External"/><Relationship Id="rId177" Type="http://schemas.openxmlformats.org/officeDocument/2006/relationships/hyperlink" Target="https://www.elplural.com/politica/caja-b-partido-popular-congreso-diputados-comision-investigacion-villarejo-pablo-casado_207693102" TargetMode="External"/><Relationship Id="rId384" Type="http://schemas.openxmlformats.org/officeDocument/2006/relationships/hyperlink" Target="http://www.lavanguardia.com/politica/20181206/453390318753/debate-pp-estrategia-vox-elecciones-andaluzas-pablo-casado.html?utm_campaign=botones_sociales&amp;utm_medium=social&amp;utm_source=twitter" TargetMode="External"/><Relationship Id="rId591" Type="http://schemas.openxmlformats.org/officeDocument/2006/relationships/hyperlink" Target="http://www.estrelladigital.es/" TargetMode="External"/><Relationship Id="rId2065" Type="http://schemas.openxmlformats.org/officeDocument/2006/relationships/hyperlink" Target="https://youtu.be/t3eHbLrZbhk" TargetMode="External"/><Relationship Id="rId2272" Type="http://schemas.openxmlformats.org/officeDocument/2006/relationships/hyperlink" Target="http://ask.fm/XOXOT12" TargetMode="External"/><Relationship Id="rId244" Type="http://schemas.openxmlformats.org/officeDocument/2006/relationships/hyperlink" Target="http://mvazurdo.wix.com/marianozurdo" TargetMode="External"/><Relationship Id="rId689" Type="http://schemas.openxmlformats.org/officeDocument/2006/relationships/hyperlink" Target="https://www.eldiario.es/politica/Casado-Javier-Lasquetty-Aguirre-Gabinete_0_843415739.html" TargetMode="External"/><Relationship Id="rId896" Type="http://schemas.openxmlformats.org/officeDocument/2006/relationships/hyperlink" Target="http://www.momentohumo.com/" TargetMode="External"/><Relationship Id="rId1081" Type="http://schemas.openxmlformats.org/officeDocument/2006/relationships/hyperlink" Target="https://www.elplural.com/politica/cis-valoracion-lideres-pablo-iglesias-pablo-casado-pedro-sanchez_207613102" TargetMode="External"/><Relationship Id="rId2577" Type="http://schemas.openxmlformats.org/officeDocument/2006/relationships/hyperlink" Target="https://www.elmundo.es/espana/2018/12/02/5c02dc68fc6c83e67a8b45a2.html" TargetMode="External"/><Relationship Id="rId2784" Type="http://schemas.openxmlformats.org/officeDocument/2006/relationships/hyperlink" Target="http://pic.twitter.com/sM3rAdy9Fp" TargetMode="External"/><Relationship Id="rId451" Type="http://schemas.openxmlformats.org/officeDocument/2006/relationships/hyperlink" Target="https://m.eldiario.es/_324580bb" TargetMode="External"/><Relationship Id="rId549" Type="http://schemas.openxmlformats.org/officeDocument/2006/relationships/hyperlink" Target="http://mujeresporderecho.blogspot.com.es/" TargetMode="External"/><Relationship Id="rId756" Type="http://schemas.openxmlformats.org/officeDocument/2006/relationships/hyperlink" Target="http://bit.ly/2UjhCbr" TargetMode="External"/><Relationship Id="rId1179" Type="http://schemas.openxmlformats.org/officeDocument/2006/relationships/hyperlink" Target="https://www.elmundo.es/espana/2018/12/05/5c06eb2afc6c839b5f8b4622.html" TargetMode="External"/><Relationship Id="rId1386" Type="http://schemas.openxmlformats.org/officeDocument/2006/relationships/hyperlink" Target="https://www.diariodecadiz.es/_4ddd9e2a" TargetMode="External"/><Relationship Id="rId1593" Type="http://schemas.openxmlformats.org/officeDocument/2006/relationships/hyperlink" Target="http://pic.twitter.com/1Gna1GJVLn" TargetMode="External"/><Relationship Id="rId2132" Type="http://schemas.openxmlformats.org/officeDocument/2006/relationships/hyperlink" Target="http://www.elplural.com/" TargetMode="External"/><Relationship Id="rId2437" Type="http://schemas.openxmlformats.org/officeDocument/2006/relationships/hyperlink" Target="http://aruizcapilla.com/" TargetMode="External"/><Relationship Id="rId104" Type="http://schemas.openxmlformats.org/officeDocument/2006/relationships/hyperlink" Target="https://pbs.twimg.com/media/Dt4lGSWXQAAHRfa.jpg" TargetMode="External"/><Relationship Id="rId311" Type="http://schemas.openxmlformats.org/officeDocument/2006/relationships/hyperlink" Target="https://pbs.twimg.com/media/Dt0AuwLXcAEJETP.jpg" TargetMode="External"/><Relationship Id="rId409" Type="http://schemas.openxmlformats.org/officeDocument/2006/relationships/hyperlink" Target="https://elcorreodepozuelo.com/2018/12/07/vox-condiciona-la-personalidad-de-los-elegidos-pablo-casado-tiene-claro-el-perfil-de-candidato-que-quiere-en-madrid-y-valencia-pero-dice-que-no-tiene-decididos-los-nombres/" TargetMode="External"/><Relationship Id="rId963" Type="http://schemas.openxmlformats.org/officeDocument/2006/relationships/hyperlink" Target="http://www.diariolirico.es/" TargetMode="External"/><Relationship Id="rId1039" Type="http://schemas.openxmlformats.org/officeDocument/2006/relationships/hyperlink" Target="http://www.eldiario.es/" TargetMode="External"/><Relationship Id="rId1246" Type="http://schemas.openxmlformats.org/officeDocument/2006/relationships/hyperlink" Target="http://lecturassalvajes.blogspot.com/" TargetMode="External"/><Relationship Id="rId1898" Type="http://schemas.openxmlformats.org/officeDocument/2006/relationships/hyperlink" Target="http://www.lavanguardia.com/" TargetMode="External"/><Relationship Id="rId2644" Type="http://schemas.openxmlformats.org/officeDocument/2006/relationships/hyperlink" Target="https://www.wattpad.com/user/Xiscthulhu" TargetMode="External"/><Relationship Id="rId92" Type="http://schemas.openxmlformats.org/officeDocument/2006/relationships/hyperlink" Target="https://letterboxd.com/fuenhurtado/" TargetMode="External"/><Relationship Id="rId616" Type="http://schemas.openxmlformats.org/officeDocument/2006/relationships/hyperlink" Target="http://pic.twitter.com/HKoscjmWer" TargetMode="External"/><Relationship Id="rId823" Type="http://schemas.openxmlformats.org/officeDocument/2006/relationships/hyperlink" Target="http://www.eldiario.es/" TargetMode="External"/><Relationship Id="rId1453" Type="http://schemas.openxmlformats.org/officeDocument/2006/relationships/hyperlink" Target="https://pbs.twimg.com/media/DtlxmbDWwAA51aw.jpg" TargetMode="External"/><Relationship Id="rId1660" Type="http://schemas.openxmlformats.org/officeDocument/2006/relationships/hyperlink" Target="https://www.youtube.com/channel/UCLKNedDQrafEdvmL0mas3eg" TargetMode="External"/><Relationship Id="rId1758" Type="http://schemas.openxmlformats.org/officeDocument/2006/relationships/hyperlink" Target="https://www.elplural.com/politica/pablo-casado-debe-gobernar-la-lista-mas-votada-porque-los-ciudadanos-deciden-con-su-voto_207439102" TargetMode="External"/><Relationship Id="rId2504" Type="http://schemas.openxmlformats.org/officeDocument/2006/relationships/hyperlink" Target="https://plus.google.com/101097701906649811564" TargetMode="External"/><Relationship Id="rId2711" Type="http://schemas.openxmlformats.org/officeDocument/2006/relationships/hyperlink" Target="https://www.linkedin.com/pulse/una-vision-suarista-y-aznarista-sobre-la-necesidad-de-jorge-zuazola/" TargetMode="External"/><Relationship Id="rId1106" Type="http://schemas.openxmlformats.org/officeDocument/2006/relationships/hyperlink" Target="https://www.eldiadecordoba.es/_4ddd9e2a" TargetMode="External"/><Relationship Id="rId1313" Type="http://schemas.openxmlformats.org/officeDocument/2006/relationships/hyperlink" Target="http://epmundo.com/2018/contundente-pablo-casado-defiende-la-inviolabilidad-del-rey/?utm_source=twitter&amp;utm_medium=social&amp;utm_campaign=ReviveOldPost" TargetMode="External"/><Relationship Id="rId1520" Type="http://schemas.openxmlformats.org/officeDocument/2006/relationships/hyperlink" Target="http://csur.red/Yzmf50jRkD0" TargetMode="External"/><Relationship Id="rId1965" Type="http://schemas.openxmlformats.org/officeDocument/2006/relationships/hyperlink" Target="https://www.elplural.com/politica/pablo-casado-debe-gobernar-la-lista-mas-votada-porque-los-ciudadanos-deciden-con-su-voto_207439102" TargetMode="External"/><Relationship Id="rId1618" Type="http://schemas.openxmlformats.org/officeDocument/2006/relationships/hyperlink" Target="https://www.publico.es/politica/articulo-155-parlament-catalan-cita-comparecer-sanchez-rajoy-puigdemont-junqueras-comision-155.html?utm_source=twitter&amp;utm_medium=social&amp;utm_campaign=publico" TargetMode="External"/><Relationship Id="rId1825" Type="http://schemas.openxmlformats.org/officeDocument/2006/relationships/hyperlink" Target="https://binarymag.es/politica/analizamos-el-pp-de-pablo-casado-el-resultado-os-sorprendera/" TargetMode="External"/><Relationship Id="rId199" Type="http://schemas.openxmlformats.org/officeDocument/2006/relationships/hyperlink" Target="http://www.diariovasco.com/" TargetMode="External"/><Relationship Id="rId2087" Type="http://schemas.openxmlformats.org/officeDocument/2006/relationships/hyperlink" Target="https://www.facebook.com/NodoGenero" TargetMode="External"/><Relationship Id="rId2294" Type="http://schemas.openxmlformats.org/officeDocument/2006/relationships/hyperlink" Target="http://www.tepierdelaboquita.com/" TargetMode="External"/><Relationship Id="rId266" Type="http://schemas.openxmlformats.org/officeDocument/2006/relationships/hyperlink" Target="https://www.elespanol.com/cultura/libros/20181031/rosa-montero-pablo-casado-reaccionario-aprendera-feminismo/349466137_0.html" TargetMode="External"/><Relationship Id="rId473" Type="http://schemas.openxmlformats.org/officeDocument/2006/relationships/hyperlink" Target="https://www.ultimedia.com/api/meta/minifier/id/uz0x5r" TargetMode="External"/><Relationship Id="rId680" Type="http://schemas.openxmlformats.org/officeDocument/2006/relationships/hyperlink" Target="http://matarocapital.cat/" TargetMode="External"/><Relationship Id="rId2154" Type="http://schemas.openxmlformats.org/officeDocument/2006/relationships/hyperlink" Target="https://www.abc.es/espana/abci-pablo-casado-creo-despues-40-anos-hora-pp-gobernara-san-telmo-201812022338_noticia.html" TargetMode="External"/><Relationship Id="rId2361" Type="http://schemas.openxmlformats.org/officeDocument/2006/relationships/hyperlink" Target="https://www.elplural.com/politica/abuelo-pablo-casado-republicano-encarcelado-franco_200492102" TargetMode="External"/><Relationship Id="rId2599" Type="http://schemas.openxmlformats.org/officeDocument/2006/relationships/hyperlink" Target="https://pbs.twimg.com/media/DtZhq18X4AEbeMW.jpg" TargetMode="External"/><Relationship Id="rId126" Type="http://schemas.openxmlformats.org/officeDocument/2006/relationships/hyperlink" Target="http://shr.gs/k83WNfQ" TargetMode="External"/><Relationship Id="rId333" Type="http://schemas.openxmlformats.org/officeDocument/2006/relationships/hyperlink" Target="https://scandallos.wordpress.com/2018/09/23/pablo-casado-y-la-justicia-espanola/" TargetMode="External"/><Relationship Id="rId540" Type="http://schemas.openxmlformats.org/officeDocument/2006/relationships/hyperlink" Target="https://www.eldiario.es/_324580bb" TargetMode="External"/><Relationship Id="rId778" Type="http://schemas.openxmlformats.org/officeDocument/2006/relationships/hyperlink" Target="https://pbs.twimg.com/media/Dtu3bdyW0AUILx_.jpg" TargetMode="External"/><Relationship Id="rId985" Type="http://schemas.openxmlformats.org/officeDocument/2006/relationships/hyperlink" Target="http://epmundo.com/2018/contundente-pablo-casado-defiende-la-inviolabilidad-del-rey/" TargetMode="External"/><Relationship Id="rId1170" Type="http://schemas.openxmlformats.org/officeDocument/2006/relationships/hyperlink" Target="http://www.senado.es/web/conocersenado/normas/constitucion/detalleconstitucioncompleta/index.html" TargetMode="External"/><Relationship Id="rId2014" Type="http://schemas.openxmlformats.org/officeDocument/2006/relationships/hyperlink" Target="http://www.elindependiente.com/" TargetMode="External"/><Relationship Id="rId2221" Type="http://schemas.openxmlformats.org/officeDocument/2006/relationships/hyperlink" Target="http://www.icariaeditorial.com/libros.php?id=1729" TargetMode="External"/><Relationship Id="rId2459" Type="http://schemas.openxmlformats.org/officeDocument/2006/relationships/hyperlink" Target="http://pic.twitter.com/fmknNixCRx" TargetMode="External"/><Relationship Id="rId2666" Type="http://schemas.openxmlformats.org/officeDocument/2006/relationships/hyperlink" Target="http://siscogarcia.wordpress.com/" TargetMode="External"/><Relationship Id="rId638" Type="http://schemas.openxmlformats.org/officeDocument/2006/relationships/hyperlink" Target="http://www.diariomedico.com/" TargetMode="External"/><Relationship Id="rId845" Type="http://schemas.openxmlformats.org/officeDocument/2006/relationships/hyperlink" Target="http://oscarfidalgo.blogspot.com/" TargetMode="External"/><Relationship Id="rId1030" Type="http://schemas.openxmlformats.org/officeDocument/2006/relationships/hyperlink" Target="http://major-reisman-cine-belico.blogspot.com/" TargetMode="External"/><Relationship Id="rId1268" Type="http://schemas.openxmlformats.org/officeDocument/2006/relationships/hyperlink" Target="http://paper.li/wizfun/1315752719" TargetMode="External"/><Relationship Id="rId1475" Type="http://schemas.openxmlformats.org/officeDocument/2006/relationships/hyperlink" Target="https://www.europapress.es/nacional/noticia-psoe-carga-contra-comision-tesis-sanchez-senado-erc-baraja-pedir-declare-pablo-casado-20181204132621.html" TargetMode="External"/><Relationship Id="rId1682" Type="http://schemas.openxmlformats.org/officeDocument/2006/relationships/hyperlink" Target="https://www.eldiario.es/zonacritica/PP-apuesta-extrema-derecha-Moncloa_6_842075804.html" TargetMode="External"/><Relationship Id="rId2319" Type="http://schemas.openxmlformats.org/officeDocument/2006/relationships/hyperlink" Target="http://www.techipresidenta.cat/" TargetMode="External"/><Relationship Id="rId2526" Type="http://schemas.openxmlformats.org/officeDocument/2006/relationships/hyperlink" Target="http://elrincndedonnadie.blogspot.com/" TargetMode="External"/><Relationship Id="rId2733" Type="http://schemas.openxmlformats.org/officeDocument/2006/relationships/hyperlink" Target="http://clm24.es/" TargetMode="External"/><Relationship Id="rId400" Type="http://schemas.openxmlformats.org/officeDocument/2006/relationships/hyperlink" Target="https://m.eldiario.es/politica/Casado-Javier-Lasquetty-Aguirre-Gabinete_0_843415739.html" TargetMode="External"/><Relationship Id="rId705" Type="http://schemas.openxmlformats.org/officeDocument/2006/relationships/hyperlink" Target="https://pbs.twimg.com/media/DtvV75WU4AA1OjH.jpg" TargetMode="External"/><Relationship Id="rId1128" Type="http://schemas.openxmlformats.org/officeDocument/2006/relationships/hyperlink" Target="https://pbs.twimg.com/media/DtpnGsmWoAAF0zJ.jpg" TargetMode="External"/><Relationship Id="rId1335" Type="http://schemas.openxmlformats.org/officeDocument/2006/relationships/hyperlink" Target="http://www.hola.com/" TargetMode="External"/><Relationship Id="rId1542" Type="http://schemas.openxmlformats.org/officeDocument/2006/relationships/hyperlink" Target="https://ift.tt/2SqTZvP" TargetMode="External"/><Relationship Id="rId1987" Type="http://schemas.openxmlformats.org/officeDocument/2006/relationships/hyperlink" Target="https://www.elplural.com/politica/pablo-casado-debe-gobernar-la-lista-mas-votada-porque-los-ciudadanos-deciden-con-su-voto_207439102" TargetMode="External"/><Relationship Id="rId912" Type="http://schemas.openxmlformats.org/officeDocument/2006/relationships/hyperlink" Target="https://www.libertaddigital.com/espana/politica/2018-12-06/javier-fernandez-lasquetty-nuevo-jefe-de-gabinete-de-casado-1276629457/" TargetMode="External"/><Relationship Id="rId1847" Type="http://schemas.openxmlformats.org/officeDocument/2006/relationships/hyperlink" Target="https://verne.elpais.com/verne/2018/12/03/articulo/1543829785_936778.html?id_externo_rsoc=TW_CM" TargetMode="External"/><Relationship Id="rId2800" Type="http://schemas.openxmlformats.org/officeDocument/2006/relationships/hyperlink" Target="https://pbs.twimg.com/media/DtVYaIRWwAY2v7O.jpg" TargetMode="External"/><Relationship Id="rId41" Type="http://schemas.openxmlformats.org/officeDocument/2006/relationships/hyperlink" Target="http://dlvr.it/Qt80Pb" TargetMode="External"/><Relationship Id="rId1402" Type="http://schemas.openxmlformats.org/officeDocument/2006/relationships/hyperlink" Target="https://wp.me/pakK8D-FfH" TargetMode="External"/><Relationship Id="rId1707" Type="http://schemas.openxmlformats.org/officeDocument/2006/relationships/hyperlink" Target="http://www.elpais.com/" TargetMode="External"/><Relationship Id="rId190" Type="http://schemas.openxmlformats.org/officeDocument/2006/relationships/hyperlink" Target="https://elpais.com/elpais/2018/12/07/gente/1544186974_680816.html" TargetMode="External"/><Relationship Id="rId288" Type="http://schemas.openxmlformats.org/officeDocument/2006/relationships/hyperlink" Target="http://alcantarillasocial.com/author/protestona1" TargetMode="External"/><Relationship Id="rId1914" Type="http://schemas.openxmlformats.org/officeDocument/2006/relationships/hyperlink" Target="http://20minutos.es/" TargetMode="External"/><Relationship Id="rId495" Type="http://schemas.openxmlformats.org/officeDocument/2006/relationships/hyperlink" Target="https://blogs.publico.es/strambotic/2018/12/frases-pablo-casado/" TargetMode="External"/><Relationship Id="rId2176" Type="http://schemas.openxmlformats.org/officeDocument/2006/relationships/hyperlink" Target="http://unculeencomplutum.blogspot.com/" TargetMode="External"/><Relationship Id="rId2383" Type="http://schemas.openxmlformats.org/officeDocument/2006/relationships/hyperlink" Target="https://bit.ly/2Pg4Cj2" TargetMode="External"/><Relationship Id="rId2590" Type="http://schemas.openxmlformats.org/officeDocument/2006/relationships/hyperlink" Target="https://www.lasilenciosacat.org/" TargetMode="External"/><Relationship Id="rId148" Type="http://schemas.openxmlformats.org/officeDocument/2006/relationships/hyperlink" Target="http://www.huffingtonpost.es/" TargetMode="External"/><Relationship Id="rId355" Type="http://schemas.openxmlformats.org/officeDocument/2006/relationships/hyperlink" Target="http://www.patxibarrondo.com/" TargetMode="External"/><Relationship Id="rId562" Type="http://schemas.openxmlformats.org/officeDocument/2006/relationships/hyperlink" Target="https://pbs.twimg.com/media/DtwB79qWoAACucg.jpg" TargetMode="External"/><Relationship Id="rId1192" Type="http://schemas.openxmlformats.org/officeDocument/2006/relationships/hyperlink" Target="https://sentipensantequenadasabeypocopiensa.wordpress.com/" TargetMode="External"/><Relationship Id="rId2036" Type="http://schemas.openxmlformats.org/officeDocument/2006/relationships/hyperlink" Target="https://youtu.be/Mi1GENftMQ0" TargetMode="External"/><Relationship Id="rId2243" Type="http://schemas.openxmlformats.org/officeDocument/2006/relationships/hyperlink" Target="https://pbs.twimg.com/media/DtcgLypXgAAZuc2.jpg" TargetMode="External"/><Relationship Id="rId2450" Type="http://schemas.openxmlformats.org/officeDocument/2006/relationships/hyperlink" Target="https://play.google.com/store/apps/details?id=com.larrysion.whatsappstickers" TargetMode="External"/><Relationship Id="rId2688" Type="http://schemas.openxmlformats.org/officeDocument/2006/relationships/hyperlink" Target="http://pp.de/" TargetMode="External"/><Relationship Id="rId215" Type="http://schemas.openxmlformats.org/officeDocument/2006/relationships/hyperlink" Target="http://www.anitathomsen.info/" TargetMode="External"/><Relationship Id="rId422" Type="http://schemas.openxmlformats.org/officeDocument/2006/relationships/hyperlink" Target="https://pbs.twimg.com/media/DtxRSxBXgAEKtHE.jpg" TargetMode="External"/><Relationship Id="rId867" Type="http://schemas.openxmlformats.org/officeDocument/2006/relationships/hyperlink" Target="http://about.me/sergioparra" TargetMode="External"/><Relationship Id="rId1052" Type="http://schemas.openxmlformats.org/officeDocument/2006/relationships/hyperlink" Target="https://www.eldiario.es/_323ad545" TargetMode="External"/><Relationship Id="rId1497" Type="http://schemas.openxmlformats.org/officeDocument/2006/relationships/hyperlink" Target="http://serraniadepalabras.blogspot.com/" TargetMode="External"/><Relationship Id="rId2103" Type="http://schemas.openxmlformats.org/officeDocument/2006/relationships/hyperlink" Target="http://www.noticias24horas.com/" TargetMode="External"/><Relationship Id="rId2310" Type="http://schemas.openxmlformats.org/officeDocument/2006/relationships/hyperlink" Target="http://inesgcaballo.blogspot.com/" TargetMode="External"/><Relationship Id="rId2548" Type="http://schemas.openxmlformats.org/officeDocument/2006/relationships/hyperlink" Target="https://www.facebook.com/1631313905/posts/10216510148099487/" TargetMode="External"/><Relationship Id="rId2755" Type="http://schemas.openxmlformats.org/officeDocument/2006/relationships/hyperlink" Target="https://www.abc.es/estilo/moda/abci-albert-rivera-y-pablo-casado-eligen-mismo-uniforme-para-cerrar-campana-201811301848_noticia.html" TargetMode="External"/><Relationship Id="rId727" Type="http://schemas.openxmlformats.org/officeDocument/2006/relationships/hyperlink" Target="https://elpais.com/politica/2018/11/28/actualidad/1543422955_026078.html?id_externo_rsoc=TW_CC" TargetMode="External"/><Relationship Id="rId934" Type="http://schemas.openxmlformats.org/officeDocument/2006/relationships/hyperlink" Target="http://www.formulatv.com/" TargetMode="External"/><Relationship Id="rId1357" Type="http://schemas.openxmlformats.org/officeDocument/2006/relationships/hyperlink" Target="http://weirdorconfusing.com/" TargetMode="External"/><Relationship Id="rId1564" Type="http://schemas.openxmlformats.org/officeDocument/2006/relationships/hyperlink" Target="http://bit.ly/2FY0BRd" TargetMode="External"/><Relationship Id="rId1771" Type="http://schemas.openxmlformats.org/officeDocument/2006/relationships/hyperlink" Target="https://www.facebook.com/juanjose.sanchezsoto.1" TargetMode="External"/><Relationship Id="rId2408" Type="http://schemas.openxmlformats.org/officeDocument/2006/relationships/hyperlink" Target="http://ow.ly/k65Y30mPNxf" TargetMode="External"/><Relationship Id="rId2615" Type="http://schemas.openxmlformats.org/officeDocument/2006/relationships/hyperlink" Target="https://pbs.twimg.com/media/DtZPoCHWsAA0tln.jpg" TargetMode="External"/><Relationship Id="rId63" Type="http://schemas.openxmlformats.org/officeDocument/2006/relationships/hyperlink" Target="https://www.elmundo.es/espana/2018/12/08/5c0adb54fdddffcc228b45f7.html" TargetMode="External"/><Relationship Id="rId1217" Type="http://schemas.openxmlformats.org/officeDocument/2006/relationships/hyperlink" Target="http://antonioperal.blogspot.com/" TargetMode="External"/><Relationship Id="rId1424" Type="http://schemas.openxmlformats.org/officeDocument/2006/relationships/hyperlink" Target="https://www.elconfidencialdigital.com/articulo/el_chivato/ojo-pablo-casado-tiene-suerte/20181203185902118920.html" TargetMode="External"/><Relationship Id="rId1631" Type="http://schemas.openxmlformats.org/officeDocument/2006/relationships/hyperlink" Target="http://somosecd.com/61gba4" TargetMode="External"/><Relationship Id="rId1869" Type="http://schemas.openxmlformats.org/officeDocument/2006/relationships/hyperlink" Target="http://dlvr.it/Qsjt10" TargetMode="External"/><Relationship Id="rId1729" Type="http://schemas.openxmlformats.org/officeDocument/2006/relationships/hyperlink" Target="http://pic.twitter.com/X4h4oj1voA" TargetMode="External"/><Relationship Id="rId1936" Type="http://schemas.openxmlformats.org/officeDocument/2006/relationships/hyperlink" Target="http://www.abc.es/" TargetMode="External"/><Relationship Id="rId2198" Type="http://schemas.openxmlformats.org/officeDocument/2006/relationships/hyperlink" Target="http://eslaviadelsur.blogspot.com/" TargetMode="External"/><Relationship Id="rId377" Type="http://schemas.openxmlformats.org/officeDocument/2006/relationships/hyperlink" Target="https://pbs.twimg.com/media/Dty5Ny_XgAErsZk.jpg" TargetMode="External"/><Relationship Id="rId584" Type="http://schemas.openxmlformats.org/officeDocument/2006/relationships/hyperlink" Target="http://dlvr.it/Qt01lH" TargetMode="External"/><Relationship Id="rId2058" Type="http://schemas.openxmlformats.org/officeDocument/2006/relationships/hyperlink" Target="https://www.elmundo.es/andalucia/2018/12/02/5c042eda21efa030288b45c6.html" TargetMode="External"/><Relationship Id="rId2265" Type="http://schemas.openxmlformats.org/officeDocument/2006/relationships/hyperlink" Target="http://www.fotosparadecorar.es/" TargetMode="External"/><Relationship Id="rId5" Type="http://schemas.openxmlformats.org/officeDocument/2006/relationships/hyperlink" Target="http://www.librediariodigital.net/texto-diario/mostrar/1207785/pablo-casado-hare-posible-impedir-salario-minimo-interprofesional-suba-900-euros" TargetMode="External"/><Relationship Id="rId237" Type="http://schemas.openxmlformats.org/officeDocument/2006/relationships/hyperlink" Target="https://ressosite.wordpress.com/" TargetMode="External"/><Relationship Id="rId791" Type="http://schemas.openxmlformats.org/officeDocument/2006/relationships/hyperlink" Target="https://pbs.twimg.com/media/DtuzIFBU8AAmkDY.jpg" TargetMode="External"/><Relationship Id="rId889" Type="http://schemas.openxmlformats.org/officeDocument/2006/relationships/hyperlink" Target="https://www.libertaddigital.com/espana/politica/2018-12-06/javier-fernandez-lasquetty-nuevo-jefe-de-gabinete-de-casado-1276629457/" TargetMode="External"/><Relationship Id="rId1074" Type="http://schemas.openxmlformats.org/officeDocument/2006/relationships/hyperlink" Target="https://pbs.twimg.com/media/DtqbAY1WkAAVNJN.jpg" TargetMode="External"/><Relationship Id="rId2472" Type="http://schemas.openxmlformats.org/officeDocument/2006/relationships/hyperlink" Target="https://pbs.twimg.com/media/DtaebdbX4AAH1K3.jpg" TargetMode="External"/><Relationship Id="rId2777" Type="http://schemas.openxmlformats.org/officeDocument/2006/relationships/hyperlink" Target="http://tutambienerespolitico.blogspot.com.es/" TargetMode="External"/><Relationship Id="rId444" Type="http://schemas.openxmlformats.org/officeDocument/2006/relationships/hyperlink" Target="http://www.joseluisportela.com/" TargetMode="External"/><Relationship Id="rId651" Type="http://schemas.openxmlformats.org/officeDocument/2006/relationships/hyperlink" Target="http://www.guerraeterna.com/" TargetMode="External"/><Relationship Id="rId749" Type="http://schemas.openxmlformats.org/officeDocument/2006/relationships/hyperlink" Target="https://goo.gl/fb/FJiVMj" TargetMode="External"/><Relationship Id="rId1281" Type="http://schemas.openxmlformats.org/officeDocument/2006/relationships/hyperlink" Target="https://pbs.twimg.com/media/DtoSt8zXgAABiPF.jpg" TargetMode="External"/><Relationship Id="rId1379" Type="http://schemas.openxmlformats.org/officeDocument/2006/relationships/hyperlink" Target="http://www.huffingtonpost.es/" TargetMode="External"/><Relationship Id="rId1586" Type="http://schemas.openxmlformats.org/officeDocument/2006/relationships/hyperlink" Target="http://sexomandamiento.es/" TargetMode="External"/><Relationship Id="rId2125" Type="http://schemas.openxmlformats.org/officeDocument/2006/relationships/hyperlink" Target="http://youtu.be/cMOFYQVYGDU?a" TargetMode="External"/><Relationship Id="rId2332" Type="http://schemas.openxmlformats.org/officeDocument/2006/relationships/hyperlink" Target="https://www.youtube.com/channel/UChEaFj92sE0smKZ16SS1fZw" TargetMode="External"/><Relationship Id="rId304" Type="http://schemas.openxmlformats.org/officeDocument/2006/relationships/hyperlink" Target="http://www.la-fm.es/2018/12/07/pablo-casado-tambien-quiere-un-emoji-de-la-zambomba-de-jerez-en-whatsapp/" TargetMode="External"/><Relationship Id="rId511" Type="http://schemas.openxmlformats.org/officeDocument/2006/relationships/hyperlink" Target="http://lrzn.es/mbk7h7" TargetMode="External"/><Relationship Id="rId609" Type="http://schemas.openxmlformats.org/officeDocument/2006/relationships/hyperlink" Target="https://m.eldiario.es/_324580bb" TargetMode="External"/><Relationship Id="rId956" Type="http://schemas.openxmlformats.org/officeDocument/2006/relationships/hyperlink" Target="http://www.damasdeblanco.org/" TargetMode="External"/><Relationship Id="rId1141" Type="http://schemas.openxmlformats.org/officeDocument/2006/relationships/hyperlink" Target="https://pbs.twimg.com/media/Dtphs42XQAEAQ38.jpg" TargetMode="External"/><Relationship Id="rId1239" Type="http://schemas.openxmlformats.org/officeDocument/2006/relationships/hyperlink" Target="https://www.elconfidencial.com/elecciones-andalucia/2018-12-04/elecciones-andalucia-pablo-casado-pp-vox-ciudadanos_1685222/?utm_campaign=BotoneraWebapp&amp;utm_source=twitter&amp;utm_medium=social" TargetMode="External"/><Relationship Id="rId1793" Type="http://schemas.openxmlformats.org/officeDocument/2006/relationships/hyperlink" Target="http://youtu.be/2qgKHpR11Vw?a" TargetMode="External"/><Relationship Id="rId2637" Type="http://schemas.openxmlformats.org/officeDocument/2006/relationships/hyperlink" Target="https://www.elmundo.es/espana/2018/12/02/5c02dc68fc6c83e67a8b45a2.html" TargetMode="External"/><Relationship Id="rId85" Type="http://schemas.openxmlformats.org/officeDocument/2006/relationships/hyperlink" Target="https://www.elmundo.es/espana/2018/12/08/5c0adb54fdddffcc228b45f7.html" TargetMode="External"/><Relationship Id="rId816" Type="http://schemas.openxmlformats.org/officeDocument/2006/relationships/hyperlink" Target="http://www.lasexta.com/" TargetMode="External"/><Relationship Id="rId1001" Type="http://schemas.openxmlformats.org/officeDocument/2006/relationships/hyperlink" Target="https://www.elmundo.es/espana/2018/12/05/5c07b140fc6c834c318b4680.html" TargetMode="External"/><Relationship Id="rId1446" Type="http://schemas.openxmlformats.org/officeDocument/2006/relationships/hyperlink" Target="http://epmundo.com/2018/contundente-pablo-casado-defiende-la-inviolabilidad-del-rey/?utm_source=twitter&amp;utm_medium=social&amp;utm_campaign=ReviveOldPost" TargetMode="External"/><Relationship Id="rId1653" Type="http://schemas.openxmlformats.org/officeDocument/2006/relationships/hyperlink" Target="https://twitter.com/PeaLeopoldo/status/1069868118682558465" TargetMode="External"/><Relationship Id="rId1860" Type="http://schemas.openxmlformats.org/officeDocument/2006/relationships/hyperlink" Target="http://www.robertodossantos.net/" TargetMode="External"/><Relationship Id="rId2704" Type="http://schemas.openxmlformats.org/officeDocument/2006/relationships/hyperlink" Target="https://pbs.twimg.com/media/DtW68aoXcAInlRs.jpg" TargetMode="External"/><Relationship Id="rId1306" Type="http://schemas.openxmlformats.org/officeDocument/2006/relationships/hyperlink" Target="https://ift.tt/2ri3fXG" TargetMode="External"/><Relationship Id="rId1513" Type="http://schemas.openxmlformats.org/officeDocument/2006/relationships/hyperlink" Target="https://twitter.com/i/moments/827568772739391489" TargetMode="External"/><Relationship Id="rId1720" Type="http://schemas.openxmlformats.org/officeDocument/2006/relationships/hyperlink" Target="http://www.jesusgutierrezalvarez.es/" TargetMode="External"/><Relationship Id="rId1958" Type="http://schemas.openxmlformats.org/officeDocument/2006/relationships/hyperlink" Target="http://www.enfoquenoticias.com.mx/" TargetMode="External"/><Relationship Id="rId12" Type="http://schemas.openxmlformats.org/officeDocument/2006/relationships/hyperlink" Target="http://www.multiforo.eu/" TargetMode="External"/><Relationship Id="rId1818" Type="http://schemas.openxmlformats.org/officeDocument/2006/relationships/hyperlink" Target="https://www.youtube.com/channel/UCY60GBj-H8SmayRG1UgDVWw" TargetMode="External"/><Relationship Id="rId161"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399" Type="http://schemas.openxmlformats.org/officeDocument/2006/relationships/hyperlink" Target="https://ift.tt/2E39dmW" TargetMode="External"/><Relationship Id="rId2287" Type="http://schemas.openxmlformats.org/officeDocument/2006/relationships/hyperlink" Target="http://www.sevilla24horas.com/" TargetMode="External"/><Relationship Id="rId2494" Type="http://schemas.openxmlformats.org/officeDocument/2006/relationships/hyperlink" Target="http://cadenaser.com/ser/2018/11/30/politica/1543613809_281010.html?ssm=tw" TargetMode="External"/><Relationship Id="rId259" Type="http://schemas.openxmlformats.org/officeDocument/2006/relationships/hyperlink" Target="http://dlvr.it/Qt41MT" TargetMode="External"/><Relationship Id="rId466" Type="http://schemas.openxmlformats.org/officeDocument/2006/relationships/hyperlink" Target="https://www.20minutos.es/noticia/3510534/0/pablo-casado-recula-vox-andalucia-pactos-cs/" TargetMode="External"/><Relationship Id="rId673" Type="http://schemas.openxmlformats.org/officeDocument/2006/relationships/hyperlink" Target="https://ift.tt/2rma9em" TargetMode="External"/><Relationship Id="rId880" Type="http://schemas.openxmlformats.org/officeDocument/2006/relationships/hyperlink" Target="https://www.larazon.es/espana/defender-la-constitucion-por-pablo-casado-FP20854122" TargetMode="External"/><Relationship Id="rId1096" Type="http://schemas.openxmlformats.org/officeDocument/2006/relationships/hyperlink" Target="http://youtu.be/-Jis-oq4MV0?a" TargetMode="External"/><Relationship Id="rId2147" Type="http://schemas.openxmlformats.org/officeDocument/2006/relationships/hyperlink" Target="http://ramblalibre.com/2018/12/02/pablo-casado-salva-bastante-mas-que-los-muebles/" TargetMode="External"/><Relationship Id="rId2354" Type="http://schemas.openxmlformats.org/officeDocument/2006/relationships/hyperlink" Target="https://twitter.com/Mhemeroteca/status/1069343743508193280" TargetMode="External"/><Relationship Id="rId2561" Type="http://schemas.openxmlformats.org/officeDocument/2006/relationships/hyperlink" Target="http://nuevarevolucion.es/columnas/poesia-critica/" TargetMode="External"/><Relationship Id="rId2799" Type="http://schemas.openxmlformats.org/officeDocument/2006/relationships/hyperlink" Target="https://twitter.com/pablocasado_/status/1068857700581281794" TargetMode="External"/><Relationship Id="rId119" Type="http://schemas.openxmlformats.org/officeDocument/2006/relationships/hyperlink" Target="https://instagram.com/_victor_hurtado/" TargetMode="External"/><Relationship Id="rId326" Type="http://schemas.openxmlformats.org/officeDocument/2006/relationships/hyperlink" Target="https://www.redaccionmedica.com/bisturi/javier-fernandez-lasquetty-entra-en-el-equipo-de-pablo-casado-2604" TargetMode="External"/><Relationship Id="rId533" Type="http://schemas.openxmlformats.org/officeDocument/2006/relationships/hyperlink" Target="https://pbs.twimg.com/media/DtwNzBhW0AAPelr.png" TargetMode="External"/><Relationship Id="rId978" Type="http://schemas.openxmlformats.org/officeDocument/2006/relationships/hyperlink" Target="http://veoinfo.com/" TargetMode="External"/><Relationship Id="rId1163" Type="http://schemas.openxmlformats.org/officeDocument/2006/relationships/hyperlink" Target="https://ift.tt/2AVlcQ3" TargetMode="External"/><Relationship Id="rId1370" Type="http://schemas.openxmlformats.org/officeDocument/2006/relationships/hyperlink" Target="http://albertosanzblanco.wordpress.com/" TargetMode="External"/><Relationship Id="rId2007" Type="http://schemas.openxmlformats.org/officeDocument/2006/relationships/hyperlink" Target="https://pbs.twimg.com/media/Dte-aeWXQAAdQvG.jpg" TargetMode="External"/><Relationship Id="rId2214" Type="http://schemas.openxmlformats.org/officeDocument/2006/relationships/hyperlink" Target="http://www.canariasahora.es/" TargetMode="External"/><Relationship Id="rId2659" Type="http://schemas.openxmlformats.org/officeDocument/2006/relationships/hyperlink" Target="http://www.huffingtonpost.es/" TargetMode="External"/><Relationship Id="rId740" Type="http://schemas.openxmlformats.org/officeDocument/2006/relationships/hyperlink" Target="http://antoniofse.com/" TargetMode="External"/><Relationship Id="rId838" Type="http://schemas.openxmlformats.org/officeDocument/2006/relationships/hyperlink" Target="https://pbs.twimg.com/media/DtupQCvX4AIQHWp.jpg" TargetMode="External"/><Relationship Id="rId1023" Type="http://schemas.openxmlformats.org/officeDocument/2006/relationships/hyperlink" Target="http://www.diariodeteruel.es/noticia.asp?notid=1010751&amp;secid=1" TargetMode="External"/><Relationship Id="rId1468" Type="http://schemas.openxmlformats.org/officeDocument/2006/relationships/hyperlink" Target="http://bit.ly/EP_Venezuela" TargetMode="External"/><Relationship Id="rId1675" Type="http://schemas.openxmlformats.org/officeDocument/2006/relationships/hyperlink" Target="http://ow.ly/mgAh30mQYhg" TargetMode="External"/><Relationship Id="rId1882" Type="http://schemas.openxmlformats.org/officeDocument/2006/relationships/hyperlink" Target="https://ift.tt/2StCdZ5" TargetMode="External"/><Relationship Id="rId2421" Type="http://schemas.openxmlformats.org/officeDocument/2006/relationships/hyperlink" Target="https://pbs.twimg.com/media/Dtb20XhXQAQS1NG.jpg" TargetMode="External"/><Relationship Id="rId2519" Type="http://schemas.openxmlformats.org/officeDocument/2006/relationships/hyperlink" Target="http://www.tuitnews.es/" TargetMode="External"/><Relationship Id="rId2726" Type="http://schemas.openxmlformats.org/officeDocument/2006/relationships/hyperlink" Target="https://www.abc.es/estilo/moda/abci-albert-rivera-y-pablo-casado-eligen-mismo-uniforme-para-cerrar-campana-201811301848_noticia.html" TargetMode="External"/><Relationship Id="rId600" Type="http://schemas.openxmlformats.org/officeDocument/2006/relationships/hyperlink" Target="https://www.eldiario.es/_324580bb" TargetMode="External"/><Relationship Id="rId1230" Type="http://schemas.openxmlformats.org/officeDocument/2006/relationships/hyperlink" Target="https://www.elmundo.es/espana/2018/12/05/5c06eb2afc6c839b5f8b4622.html" TargetMode="External"/><Relationship Id="rId1328" Type="http://schemas.openxmlformats.org/officeDocument/2006/relationships/hyperlink" Target="https://elcorreodepozuelo.com/2018/12/05/se-disparan-los-rumores-de-todo-tipo-pablo-casado-acompana-a-angel-garrido-en-el-homenaje-a-la-constitucion-espanola-en-madrid-pero-mantiene-la-incognita-de-una-candidatura-que-se-vuelve-a-retrasar/" TargetMode="External"/><Relationship Id="rId1535" Type="http://schemas.openxmlformats.org/officeDocument/2006/relationships/hyperlink" Target="https://elnuevopais.net/2018/12/04/casado-considera-que-logro-de-vox-en-andalucia-contribuira-a-reunificar-a-la-derecha/" TargetMode="External"/><Relationship Id="rId905" Type="http://schemas.openxmlformats.org/officeDocument/2006/relationships/hyperlink" Target="https://www.elplural.com/politica/cis-valoracion-lideres-pablo-iglesias-pablo-casado-pedro-sanchez_207613102" TargetMode="External"/><Relationship Id="rId1742" Type="http://schemas.openxmlformats.org/officeDocument/2006/relationships/hyperlink" Target="https://pbs.twimg.com/media/DtQqLnsU4AAi_oV.jpg" TargetMode="External"/><Relationship Id="rId34" Type="http://schemas.openxmlformats.org/officeDocument/2006/relationships/hyperlink" Target="https://lavozdelbecario.es/pablo-casado-promete-aplicar-el-155-a-ikea-por-declarar-la-republica-independiente-de-tu-casa/" TargetMode="External"/><Relationship Id="rId1602" Type="http://schemas.openxmlformats.org/officeDocument/2006/relationships/hyperlink" Target="https://www.elplural.com/politica/pablo-casado-plagio-articulo-web-del-congreso_203304102" TargetMode="External"/><Relationship Id="rId183" Type="http://schemas.openxmlformats.org/officeDocument/2006/relationships/hyperlink" Target="http://shr.gs/k83WNfQ" TargetMode="External"/><Relationship Id="rId390" Type="http://schemas.openxmlformats.org/officeDocument/2006/relationships/hyperlink" Target="https://www.eldiario.es/politica/Casado-gobernar-Espana-coalicion-Ciudadanos_0_843415975.html" TargetMode="External"/><Relationship Id="rId1907" Type="http://schemas.openxmlformats.org/officeDocument/2006/relationships/hyperlink" Target="http://www.diariodepontevedra.es/" TargetMode="External"/><Relationship Id="rId2071" Type="http://schemas.openxmlformats.org/officeDocument/2006/relationships/hyperlink" Target="https://www.facebook.com/profile.php?id=100026036767242" TargetMode="External"/><Relationship Id="rId250" Type="http://schemas.openxmlformats.org/officeDocument/2006/relationships/hyperlink" Target="https://pbs.twimg.com/media/Dt0p9WvW4AE8zXn.jpg" TargetMode="External"/><Relationship Id="rId488" Type="http://schemas.openxmlformats.org/officeDocument/2006/relationships/hyperlink" Target="https://www.youtube.com/watch?v=z6pF1CwjKpA" TargetMode="External"/><Relationship Id="rId695" Type="http://schemas.openxmlformats.org/officeDocument/2006/relationships/hyperlink" Target="http://paper.li/lobo_solito/1343408781" TargetMode="External"/><Relationship Id="rId2169" Type="http://schemas.openxmlformats.org/officeDocument/2006/relationships/hyperlink" Target="http://66ruta.wordpress.com/" TargetMode="External"/><Relationship Id="rId2376" Type="http://schemas.openxmlformats.org/officeDocument/2006/relationships/hyperlink" Target="http://taringa.com/" TargetMode="External"/><Relationship Id="rId2583" Type="http://schemas.openxmlformats.org/officeDocument/2006/relationships/hyperlink" Target="https://pbs.twimg.com/media/DtZotWYXgAApvCg.jpg" TargetMode="External"/><Relationship Id="rId2790" Type="http://schemas.openxmlformats.org/officeDocument/2006/relationships/hyperlink" Target="https://www.huffingtonpost.es/2018/12/01/la-comentada-cobra-de-pablo-casado-al-presidente-del-pp-de-granada_a_23605887/" TargetMode="External"/><Relationship Id="rId110" Type="http://schemas.openxmlformats.org/officeDocument/2006/relationships/hyperlink" Target="http://pic.twitter.com/QFjJrg0g5z" TargetMode="External"/><Relationship Id="rId348" Type="http://schemas.openxmlformats.org/officeDocument/2006/relationships/hyperlink" Target="http://mediterraneo.diario16.com/la-ignorancia-pablo-casado-no-sabe-una-republica/" TargetMode="External"/><Relationship Id="rId555" Type="http://schemas.openxmlformats.org/officeDocument/2006/relationships/hyperlink" Target="http://www.lasexta.com/" TargetMode="External"/><Relationship Id="rId762" Type="http://schemas.openxmlformats.org/officeDocument/2006/relationships/hyperlink" Target="http://paper.li/lobo_solito/1343408781" TargetMode="External"/><Relationship Id="rId1185" Type="http://schemas.openxmlformats.org/officeDocument/2006/relationships/hyperlink" Target="https://medium.com/@eraser" TargetMode="External"/><Relationship Id="rId1392" Type="http://schemas.openxmlformats.org/officeDocument/2006/relationships/hyperlink" Target="http://cadenaser.com/emisora/2018/11/30/radio_cordoba/1543603194_695608.html?ssm=fb" TargetMode="External"/><Relationship Id="rId2029" Type="http://schemas.openxmlformats.org/officeDocument/2006/relationships/hyperlink" Target="http://pic.twitter.com/Dmy69l3BMy" TargetMode="External"/><Relationship Id="rId2236" Type="http://schemas.openxmlformats.org/officeDocument/2006/relationships/hyperlink" Target="http://pic.twitter.com/aQAea8YI1G" TargetMode="External"/><Relationship Id="rId2443" Type="http://schemas.openxmlformats.org/officeDocument/2006/relationships/hyperlink" Target="http://politica.elpais.com/" TargetMode="External"/><Relationship Id="rId2650" Type="http://schemas.openxmlformats.org/officeDocument/2006/relationships/hyperlink" Target="http://pic.twitter.com/sM3rAdy9Fp" TargetMode="External"/><Relationship Id="rId208" Type="http://schemas.openxmlformats.org/officeDocument/2006/relationships/hyperlink" Target="http://shr.gs/k83WNfQ" TargetMode="External"/><Relationship Id="rId415" Type="http://schemas.openxmlformats.org/officeDocument/2006/relationships/hyperlink" Target="http://www.eldiario.es/" TargetMode="External"/><Relationship Id="rId622" Type="http://schemas.openxmlformats.org/officeDocument/2006/relationships/hyperlink" Target="http://www.anitathomsen.info/" TargetMode="External"/><Relationship Id="rId1045" Type="http://schemas.openxmlformats.org/officeDocument/2006/relationships/hyperlink" Target="https://pbs.twimg.com/media/Dtq3-m_W0AMPHxo.jpg" TargetMode="External"/><Relationship Id="rId1252" Type="http://schemas.openxmlformats.org/officeDocument/2006/relationships/hyperlink" Target="https://www.esdiario.com/959761778/Los-politicos-corrosivos-que-a-Pablo-Casado-aun-le-quedan-por-sacar-del-PP.html" TargetMode="External"/><Relationship Id="rId1697" Type="http://schemas.openxmlformats.org/officeDocument/2006/relationships/hyperlink" Target="https://twitter.com/JosPastr/status/1069353322644148224" TargetMode="External"/><Relationship Id="rId2303" Type="http://schemas.openxmlformats.org/officeDocument/2006/relationships/hyperlink" Target="http://neovallense.blogspot.com/" TargetMode="External"/><Relationship Id="rId2510" Type="http://schemas.openxmlformats.org/officeDocument/2006/relationships/hyperlink" Target="http://www.antonioburgos.com/abc/2018/12/re120218.html" TargetMode="External"/><Relationship Id="rId2748" Type="http://schemas.openxmlformats.org/officeDocument/2006/relationships/hyperlink" Target="https://www.instagram.com/silviafilosofadepacotilla/" TargetMode="External"/><Relationship Id="rId927" Type="http://schemas.openxmlformats.org/officeDocument/2006/relationships/hyperlink" Target="https://www.libertaddigital.com/espana/politica/2018-12-06/javier-fernandez-lasquetty-nuevo-jefe-de-gabinete-de-casado-1276629457/" TargetMode="External"/><Relationship Id="rId1112" Type="http://schemas.openxmlformats.org/officeDocument/2006/relationships/hyperlink" Target="https://pbs.twimg.com/media/Dtpy8b0W4AEHuwA.jpg" TargetMode="External"/><Relationship Id="rId1557" Type="http://schemas.openxmlformats.org/officeDocument/2006/relationships/hyperlink" Target="https://www.elperiodico.com/es/politica/20181204/exlider-ku-klux-klan-felicita-vox-elecciones-andaluzas-7183936" TargetMode="External"/><Relationship Id="rId1764" Type="http://schemas.openxmlformats.org/officeDocument/2006/relationships/hyperlink" Target="http://arredro.wordpress.com/" TargetMode="External"/><Relationship Id="rId1971" Type="http://schemas.openxmlformats.org/officeDocument/2006/relationships/hyperlink" Target="https://pbs.twimg.com/media/DtfV5sVWwAIjgyF.jpg" TargetMode="External"/><Relationship Id="rId2608" Type="http://schemas.openxmlformats.org/officeDocument/2006/relationships/hyperlink" Target="http://bit.ly/2DW5kQH" TargetMode="External"/><Relationship Id="rId56" Type="http://schemas.openxmlformats.org/officeDocument/2006/relationships/hyperlink" Target="http://www.somosregion.es/" TargetMode="External"/><Relationship Id="rId1417" Type="http://schemas.openxmlformats.org/officeDocument/2006/relationships/hyperlink" Target="https://eldebatedehoy.es/cultura/33-el-musical/" TargetMode="External"/><Relationship Id="rId1624" Type="http://schemas.openxmlformats.org/officeDocument/2006/relationships/hyperlink" Target="https://www.instagram.com/davidenguita/" TargetMode="External"/><Relationship Id="rId1831" Type="http://schemas.openxmlformats.org/officeDocument/2006/relationships/hyperlink" Target="http://www.rtve.es/m/alacarta/videos/la-noche-en-24-horas/24h-pablo-casado-230516/3615225/?media=tve&amp;t=00s" TargetMode="External"/><Relationship Id="rId1929" Type="http://schemas.openxmlformats.org/officeDocument/2006/relationships/hyperlink" Target="https://pbs.twimg.com/media/DtfsBvzWwAAVK9Q.jpg" TargetMode="External"/><Relationship Id="rId2093" Type="http://schemas.openxmlformats.org/officeDocument/2006/relationships/hyperlink" Target="https://www.pce.es/el-pce-llama-a-la-unidad-de-las-fuerzas-democratas-y-a-la-tolerancia-0-ante-el-fascismo-sin-complejos-de-pp-cs-y-vox/" TargetMode="External"/><Relationship Id="rId2398" Type="http://schemas.openxmlformats.org/officeDocument/2006/relationships/hyperlink" Target="http://diario16.com/soborno-detras-del-archivo-del-caso-pablo-casado/" TargetMode="External"/><Relationship Id="rId272" Type="http://schemas.openxmlformats.org/officeDocument/2006/relationships/hyperlink" Target="https://buff.ly/2UjfMaA" TargetMode="External"/><Relationship Id="rId577" Type="http://schemas.openxmlformats.org/officeDocument/2006/relationships/hyperlink" Target="http://www.lextres.com/" TargetMode="External"/><Relationship Id="rId2160" Type="http://schemas.openxmlformats.org/officeDocument/2006/relationships/hyperlink" Target="https://pbs.twimg.com/media/DtckJjKXoAA9Db7.jpg" TargetMode="External"/><Relationship Id="rId2258" Type="http://schemas.openxmlformats.org/officeDocument/2006/relationships/hyperlink" Target="http://www.elespanol.com/joana_rei/" TargetMode="External"/><Relationship Id="rId132" Type="http://schemas.openxmlformats.org/officeDocument/2006/relationships/hyperlink" Target="https://pbs.twimg.com/media/Dt3xnV3XcAAsNWb.jpg" TargetMode="External"/><Relationship Id="rId784" Type="http://schemas.openxmlformats.org/officeDocument/2006/relationships/hyperlink" Target="https://m.eldiario.es/politica/Casado-Javier-Lasquetty-Aguirre-Gabinete_0_843415739.amp.html" TargetMode="External"/><Relationship Id="rId991" Type="http://schemas.openxmlformats.org/officeDocument/2006/relationships/hyperlink" Target="https://www.elplural.com/politica/cis-valoracion-lideres-pablo-iglesias-pablo-casado-pedro-sanchez_207613102" TargetMode="External"/><Relationship Id="rId1067" Type="http://schemas.openxmlformats.org/officeDocument/2006/relationships/hyperlink" Target="https://youtu.be/sMulPbho34g" TargetMode="External"/><Relationship Id="rId2020" Type="http://schemas.openxmlformats.org/officeDocument/2006/relationships/hyperlink" Target="http://skakeo.blogspot.com/" TargetMode="External"/><Relationship Id="rId2465" Type="http://schemas.openxmlformats.org/officeDocument/2006/relationships/hyperlink" Target="https://twitter.com/idiazayuso/status/1069197287824531456" TargetMode="External"/><Relationship Id="rId2672" Type="http://schemas.openxmlformats.org/officeDocument/2006/relationships/hyperlink" Target="http://pic.twitter.com/sM3rAdy9Fp" TargetMode="External"/><Relationship Id="rId437" Type="http://schemas.openxmlformats.org/officeDocument/2006/relationships/hyperlink" Target="https://m.eldiario.es/_324580bb" TargetMode="External"/><Relationship Id="rId644" Type="http://schemas.openxmlformats.org/officeDocument/2006/relationships/hyperlink" Target="https://buff.ly/2KZqAqe" TargetMode="External"/><Relationship Id="rId851" Type="http://schemas.openxmlformats.org/officeDocument/2006/relationships/hyperlink" Target="http://www.rtve.es/noticias/mas-24/" TargetMode="External"/><Relationship Id="rId1274" Type="http://schemas.openxmlformats.org/officeDocument/2006/relationships/hyperlink" Target="http://javiermarcosangulo.blogspot.com.es/" TargetMode="External"/><Relationship Id="rId1481" Type="http://schemas.openxmlformats.org/officeDocument/2006/relationships/hyperlink" Target="https://blogs.elconfidencial.com/espana/notebook/2018-12-04/elecciones-andalucia-fracaso-sanchez_1683858/?utm_source=twitter&amp;utm_medium=social&amp;utm_campaign=ECNocheAutomatico" TargetMode="External"/><Relationship Id="rId1579" Type="http://schemas.openxmlformats.org/officeDocument/2006/relationships/hyperlink" Target="http://alcantarillasocial.com/author/protestona1" TargetMode="External"/><Relationship Id="rId2118" Type="http://schemas.openxmlformats.org/officeDocument/2006/relationships/hyperlink" Target="https://pbs.twimg.com/media/Dtcquh4WkAAMMPU.jpg" TargetMode="External"/><Relationship Id="rId2325" Type="http://schemas.openxmlformats.org/officeDocument/2006/relationships/hyperlink" Target="https://historiastardias.blogspot.com.es/" TargetMode="External"/><Relationship Id="rId2532" Type="http://schemas.openxmlformats.org/officeDocument/2006/relationships/hyperlink" Target="http://dlvr.it/QsdB62" TargetMode="External"/><Relationship Id="rId504" Type="http://schemas.openxmlformats.org/officeDocument/2006/relationships/hyperlink" Target="https://www.hispanidad.com/confidencial/el-problema-de-pablo-casado-si-puedes-votar-a-ciudadanos-o-a-vox-por-que-vas-a-votar-al-pp_12006027_102.html" TargetMode="External"/><Relationship Id="rId711" Type="http://schemas.openxmlformats.org/officeDocument/2006/relationships/hyperlink" Target="https://blogs.publico.es/strambotic/2018/12/frases-pablo-casado/" TargetMode="External"/><Relationship Id="rId949" Type="http://schemas.openxmlformats.org/officeDocument/2006/relationships/hyperlink" Target="http://www.diariolirico.es/" TargetMode="External"/><Relationship Id="rId1134" Type="http://schemas.openxmlformats.org/officeDocument/2006/relationships/hyperlink" Target="https://www.facebook.com/elforolc/" TargetMode="External"/><Relationship Id="rId1341" Type="http://schemas.openxmlformats.org/officeDocument/2006/relationships/hyperlink" Target="http://www.eldebatedehoy.es/" TargetMode="External"/><Relationship Id="rId1786" Type="http://schemas.openxmlformats.org/officeDocument/2006/relationships/hyperlink" Target="https://pbs.twimg.com/media/Dtgy4-KV4AI7Uiw.jpg" TargetMode="External"/><Relationship Id="rId1993" Type="http://schemas.openxmlformats.org/officeDocument/2006/relationships/hyperlink" Target="https://pbs.twimg.com/media/DtfIHEnXQAAqgh5.jpg" TargetMode="External"/><Relationship Id="rId78" Type="http://schemas.openxmlformats.org/officeDocument/2006/relationships/hyperlink" Target="http://www.laverdad.es/" TargetMode="External"/><Relationship Id="rId809" Type="http://schemas.openxmlformats.org/officeDocument/2006/relationships/hyperlink" Target="https://m.eldiario.es/politica/Casado-Javier-Lasquetty-Aguirre-Gabinete_0_843415739.amp.html" TargetMode="External"/><Relationship Id="rId1201" Type="http://schemas.openxmlformats.org/officeDocument/2006/relationships/hyperlink" Target="https://www.elmundo.es/espana/2018/12/05/5c06eb2afc6c839b5f8b4622.html" TargetMode="External"/><Relationship Id="rId1439" Type="http://schemas.openxmlformats.org/officeDocument/2006/relationships/hyperlink" Target="https://pbs.twimg.com/media/Dtl3-P8X4AE2kPW.jpg" TargetMode="External"/><Relationship Id="rId1646" Type="http://schemas.openxmlformats.org/officeDocument/2006/relationships/hyperlink" Target="http://www.enblau.com/es/" TargetMode="External"/><Relationship Id="rId1853" Type="http://schemas.openxmlformats.org/officeDocument/2006/relationships/hyperlink" Target="https://telegram.me/ecorepublicano" TargetMode="External"/><Relationship Id="rId1506" Type="http://schemas.openxmlformats.org/officeDocument/2006/relationships/hyperlink" Target="http://www.geo.ya.com/xose36/" TargetMode="External"/><Relationship Id="rId1713" Type="http://schemas.openxmlformats.org/officeDocument/2006/relationships/hyperlink" Target="https://www.facebook.com/100000790614895/posts/1929707947065540/" TargetMode="External"/><Relationship Id="rId1920" Type="http://schemas.openxmlformats.org/officeDocument/2006/relationships/hyperlink" Target="http://davidbelzunce.com/" TargetMode="External"/><Relationship Id="rId294" Type="http://schemas.openxmlformats.org/officeDocument/2006/relationships/hyperlink" Target="https://redforge.bandcamp.com/" TargetMode="External"/><Relationship Id="rId2182" Type="http://schemas.openxmlformats.org/officeDocument/2006/relationships/hyperlink" Target="http://pic.twitter.com/lHzisGl1uk" TargetMode="External"/><Relationship Id="rId154" Type="http://schemas.openxmlformats.org/officeDocument/2006/relationships/hyperlink" Target="https://www.mundiario.com/seccion/galicia" TargetMode="External"/><Relationship Id="rId361" Type="http://schemas.openxmlformats.org/officeDocument/2006/relationships/hyperlink" Target="http://www.elplural.com/" TargetMode="External"/><Relationship Id="rId599" Type="http://schemas.openxmlformats.org/officeDocument/2006/relationships/hyperlink" Target="http://www.telemadrid.es/ondamadrid" TargetMode="External"/><Relationship Id="rId2042" Type="http://schemas.openxmlformats.org/officeDocument/2006/relationships/hyperlink" Target="https://pbs.twimg.com/media/DteiNJFXQAEIYDD.jpg" TargetMode="External"/><Relationship Id="rId2487" Type="http://schemas.openxmlformats.org/officeDocument/2006/relationships/hyperlink" Target="https://twitter.com/Nicormg/status/1069042779563659264" TargetMode="External"/><Relationship Id="rId2694" Type="http://schemas.openxmlformats.org/officeDocument/2006/relationships/hyperlink" Target="https://www.publico.es/tremending/2018/11/29/elecciones-andalucia-2018-el-video-de-pablo-casado-que-ejemplifica-a-la-perfeccion-que-es-el-populismo-punitivo/" TargetMode="External"/><Relationship Id="rId459" Type="http://schemas.openxmlformats.org/officeDocument/2006/relationships/hyperlink" Target="https://www.eldiario.es/_324580bb" TargetMode="External"/><Relationship Id="rId666" Type="http://schemas.openxmlformats.org/officeDocument/2006/relationships/hyperlink" Target="http://www.clinica-vega.com/" TargetMode="External"/><Relationship Id="rId873" Type="http://schemas.openxmlformats.org/officeDocument/2006/relationships/hyperlink" Target="https://www.larazon.es/espana/defender-la-constitucion-por-pablo-casado-FP20854122" TargetMode="External"/><Relationship Id="rId1089" Type="http://schemas.openxmlformats.org/officeDocument/2006/relationships/hyperlink" Target="https://pbs.twimg.com/media/DtqMXfVWoAU0aXi.jpg" TargetMode="External"/><Relationship Id="rId1296" Type="http://schemas.openxmlformats.org/officeDocument/2006/relationships/hyperlink" Target="https://www.elmundo.es/espana/2018/12/05/5c06eb2afc6c839b5f8b4622.html" TargetMode="External"/><Relationship Id="rId2347" Type="http://schemas.openxmlformats.org/officeDocument/2006/relationships/hyperlink" Target="http://www.vozpopuli.com/" TargetMode="External"/><Relationship Id="rId2554" Type="http://schemas.openxmlformats.org/officeDocument/2006/relationships/hyperlink" Target="http://www.elmundo.es/espana.html" TargetMode="External"/><Relationship Id="rId221" Type="http://schemas.openxmlformats.org/officeDocument/2006/relationships/hyperlink" Target="http://youtu.be/sUkSM9OxbW8?a" TargetMode="External"/><Relationship Id="rId319" Type="http://schemas.openxmlformats.org/officeDocument/2006/relationships/hyperlink" Target="https://twitter.com/FonsiLoaiza/status/1070716130220797954" TargetMode="External"/><Relationship Id="rId526" Type="http://schemas.openxmlformats.org/officeDocument/2006/relationships/hyperlink" Target="https://www.youtube.com/channel/UCY60GBj-H8SmayRG1UgDVWw" TargetMode="External"/><Relationship Id="rId1156" Type="http://schemas.openxmlformats.org/officeDocument/2006/relationships/hyperlink" Target="http://epmundo.com/" TargetMode="External"/><Relationship Id="rId1363" Type="http://schemas.openxmlformats.org/officeDocument/2006/relationships/hyperlink" Target="http://pic.twitter.com/LDxywi6Zcl" TargetMode="External"/><Relationship Id="rId2207" Type="http://schemas.openxmlformats.org/officeDocument/2006/relationships/hyperlink" Target="https://www.linkedin.com/in/lorenherre/" TargetMode="External"/><Relationship Id="rId2761" Type="http://schemas.openxmlformats.org/officeDocument/2006/relationships/hyperlink" Target="http://www.europapress.es/illes-balears/" TargetMode="External"/><Relationship Id="rId733" Type="http://schemas.openxmlformats.org/officeDocument/2006/relationships/hyperlink" Target="http://www.cuatro.com/noticias" TargetMode="External"/><Relationship Id="rId940" Type="http://schemas.openxmlformats.org/officeDocument/2006/relationships/hyperlink" Target="https://www.libertaddigital.com/espana/politica/2018-12-06/javier-fernandez-lasquetty-nuevo-jefe-de-gabinete-de-casado-1276629457/" TargetMode="External"/><Relationship Id="rId1016" Type="http://schemas.openxmlformats.org/officeDocument/2006/relationships/hyperlink" Target="http://bit.ly/EP_Venezuela" TargetMode="External"/><Relationship Id="rId1570" Type="http://schemas.openxmlformats.org/officeDocument/2006/relationships/hyperlink" Target="http://atres.red/4ncii6002" TargetMode="External"/><Relationship Id="rId1668" Type="http://schemas.openxmlformats.org/officeDocument/2006/relationships/hyperlink" Target="http://lovamosviendo.com/" TargetMode="External"/><Relationship Id="rId1875" Type="http://schemas.openxmlformats.org/officeDocument/2006/relationships/hyperlink" Target="https://pbs.twimg.com/media/DtgGMsUWsAM84Yd.jpg" TargetMode="External"/><Relationship Id="rId2414" Type="http://schemas.openxmlformats.org/officeDocument/2006/relationships/hyperlink" Target="http://bit.ly/2K5NA6u" TargetMode="External"/><Relationship Id="rId2621" Type="http://schemas.openxmlformats.org/officeDocument/2006/relationships/hyperlink" Target="https://www.huffingtonpost.es/2018/11/30/la-alucinante-coincidencia-entre-albert-rivera-y-pablo-casado-de-la-que-todos-estan-hablando_a_23605272/" TargetMode="External"/><Relationship Id="rId2719" Type="http://schemas.openxmlformats.org/officeDocument/2006/relationships/hyperlink" Target="http://bit.ly/2zE8o0G" TargetMode="External"/><Relationship Id="rId800" Type="http://schemas.openxmlformats.org/officeDocument/2006/relationships/hyperlink" Target="http://www.inmoavery.com/" TargetMode="External"/><Relationship Id="rId1223" Type="http://schemas.openxmlformats.org/officeDocument/2006/relationships/hyperlink" Target="http://ver.20m.es/qjcfd1" TargetMode="External"/><Relationship Id="rId1430" Type="http://schemas.openxmlformats.org/officeDocument/2006/relationships/hyperlink" Target="https://es.blastingnews.com/politica/2018/12/pablo-casado-no-descarta-ofrecer-consejerias-a-ciudadanos-y-a-vox-002789599.html" TargetMode="External"/><Relationship Id="rId1528" Type="http://schemas.openxmlformats.org/officeDocument/2006/relationships/hyperlink" Target="https://twitter.com/Santi_ABASCAL/status/1069722798074068992" TargetMode="External"/><Relationship Id="rId1735" Type="http://schemas.openxmlformats.org/officeDocument/2006/relationships/hyperlink" Target="http://www.cope.es/" TargetMode="External"/><Relationship Id="rId1942" Type="http://schemas.openxmlformats.org/officeDocument/2006/relationships/hyperlink" Target="https://www.elindependiente.com/politica/2018/12/03/casado-inicio-anoche-los-primeros-contactos-con-rivera-y-abascal-para-formar-gobierno-en-andalucia/?utm_source=share_buttons&amp;utm_medium=twitter&amp;utm_campaign=social_share" TargetMode="External"/><Relationship Id="rId27" Type="http://schemas.openxmlformats.org/officeDocument/2006/relationships/hyperlink" Target="https://twitter.com/h4rryindie/status/1070856548690333696" TargetMode="External"/><Relationship Id="rId1802" Type="http://schemas.openxmlformats.org/officeDocument/2006/relationships/hyperlink" Target="https://www.elmundo.es/espana/2018/12/03/5c05442321efa0cc3d8b46bc.html" TargetMode="External"/><Relationship Id="rId176" Type="http://schemas.openxmlformats.org/officeDocument/2006/relationships/hyperlink" Target="https://www.elplural.com/politica/caja-b-partido-popular-congreso-diputados-comision-investigacion-villarejo-pablo-casado_207693102" TargetMode="External"/><Relationship Id="rId383" Type="http://schemas.openxmlformats.org/officeDocument/2006/relationships/hyperlink" Target="https://www.elmundo.es/espana/2018/12/07/5c099cb5fdddff55468b474e.html" TargetMode="External"/><Relationship Id="rId590" Type="http://schemas.openxmlformats.org/officeDocument/2006/relationships/hyperlink" Target="https://www.estrelladigital.es/articulo/espanha/casado-excluye-ahora-vox-negociacion-solo-ve-interlocutor-cs/20181206161131358961.html" TargetMode="External"/><Relationship Id="rId2064" Type="http://schemas.openxmlformats.org/officeDocument/2006/relationships/hyperlink" Target="http://www.musica-dei-donum.org/" TargetMode="External"/><Relationship Id="rId2271" Type="http://schemas.openxmlformats.org/officeDocument/2006/relationships/hyperlink" Target="http://sometimesinvitingeyes.blogspot.com/" TargetMode="External"/><Relationship Id="rId243" Type="http://schemas.openxmlformats.org/officeDocument/2006/relationships/hyperlink" Target="http://va.newsrepublic.net/s/UysxMY" TargetMode="External"/><Relationship Id="rId450" Type="http://schemas.openxmlformats.org/officeDocument/2006/relationships/hyperlink" Target="http://www.rtve.es/noticias/20181206/pablo-casado-excluye-ahora-vox-negociacion-solo-ve-interlocutor-cs/1849541.shtml" TargetMode="External"/><Relationship Id="rId688" Type="http://schemas.openxmlformats.org/officeDocument/2006/relationships/hyperlink" Target="https://www.youtube.com/channel/UCY60GBj-H8SmayRG1UgDVWw" TargetMode="External"/><Relationship Id="rId895" Type="http://schemas.openxmlformats.org/officeDocument/2006/relationships/hyperlink" Target="https://www.libertaddigital.com/espana/politica/2018-12-06/javier-fernandez-lasquetty-nuevo-jefe-de-gabinete-de-casado-1276629457/" TargetMode="External"/><Relationship Id="rId1080" Type="http://schemas.openxmlformats.org/officeDocument/2006/relationships/hyperlink" Target="http://youtu.be/ZI3soGTx21o?a" TargetMode="External"/><Relationship Id="rId2131" Type="http://schemas.openxmlformats.org/officeDocument/2006/relationships/hyperlink" Target="https://www.elplural.com/politica/espana/elecciones-andalucia-resultados-partido-popular-pablo-casado-pedro-sanchez_207424102" TargetMode="External"/><Relationship Id="rId2369" Type="http://schemas.openxmlformats.org/officeDocument/2006/relationships/hyperlink" Target="http://www.alcantarillasocial.com/author/xuxipc/" TargetMode="External"/><Relationship Id="rId2576" Type="http://schemas.openxmlformats.org/officeDocument/2006/relationships/hyperlink" Target="https://www.publico.es/tremending/2018/11/30/hoy-en-parecidos-razonables-pablo-casado-y-albert-rivera-se-visten-exactamente-igual-el-mismo-dia/" TargetMode="External"/><Relationship Id="rId2783" Type="http://schemas.openxmlformats.org/officeDocument/2006/relationships/hyperlink" Target="https://twitter.com/AdelanteAND/status/1068605225370562560" TargetMode="External"/><Relationship Id="rId103" Type="http://schemas.openxmlformats.org/officeDocument/2006/relationships/hyperlink" Target="https://youtu.be/3I6uSboAxhE" TargetMode="External"/><Relationship Id="rId310" Type="http://schemas.openxmlformats.org/officeDocument/2006/relationships/hyperlink" Target="https://www.eldiario.es/politica/Casado-Lasquetty-hospitales-Madrid-PP_0_843416091.html" TargetMode="External"/><Relationship Id="rId548" Type="http://schemas.openxmlformats.org/officeDocument/2006/relationships/hyperlink" Target="https://m.eldiario.es/politica/Vox-violencia-LGTBI-propuestas-PP_0_842716530.html" TargetMode="External"/><Relationship Id="rId755" Type="http://schemas.openxmlformats.org/officeDocument/2006/relationships/hyperlink" Target="https://almudenanegro.wordpress.com/" TargetMode="External"/><Relationship Id="rId962" Type="http://schemas.openxmlformats.org/officeDocument/2006/relationships/hyperlink" Target="https://pbs.twimg.com/media/DttBm4zU4AIqam2.jpg" TargetMode="External"/><Relationship Id="rId1178" Type="http://schemas.openxmlformats.org/officeDocument/2006/relationships/hyperlink" Target="http://epmundo.com/" TargetMode="External"/><Relationship Id="rId1385" Type="http://schemas.openxmlformats.org/officeDocument/2006/relationships/hyperlink" Target="http://copiajuridica.es/" TargetMode="External"/><Relationship Id="rId1592" Type="http://schemas.openxmlformats.org/officeDocument/2006/relationships/hyperlink" Target="https://historiastardias.blogspot.com.es/" TargetMode="External"/><Relationship Id="rId2229" Type="http://schemas.openxmlformats.org/officeDocument/2006/relationships/hyperlink" Target="http://www.vozparalela.es/" TargetMode="External"/><Relationship Id="rId2436" Type="http://schemas.openxmlformats.org/officeDocument/2006/relationships/hyperlink" Target="http://juansantiso.blogspot.com/" TargetMode="External"/><Relationship Id="rId2643" Type="http://schemas.openxmlformats.org/officeDocument/2006/relationships/hyperlink" Target="https://pbs.twimg.com/media/DtRe9GSWkAAnyDw.jpg" TargetMode="External"/><Relationship Id="rId91" Type="http://schemas.openxmlformats.org/officeDocument/2006/relationships/hyperlink" Target="https://pbs.twimg.com/media/Dt5BNARWsAAfKcO.jpg" TargetMode="External"/><Relationship Id="rId408" Type="http://schemas.openxmlformats.org/officeDocument/2006/relationships/hyperlink" Target="https://m.eldiario.es/_324581a7" TargetMode="External"/><Relationship Id="rId615" Type="http://schemas.openxmlformats.org/officeDocument/2006/relationships/hyperlink" Target="http://www.diariodeteruel.es/" TargetMode="External"/><Relationship Id="rId822" Type="http://schemas.openxmlformats.org/officeDocument/2006/relationships/hyperlink" Target="https://pbs.twimg.com/media/Dtute8wWkAAzyEu.jpg" TargetMode="External"/><Relationship Id="rId1038" Type="http://schemas.openxmlformats.org/officeDocument/2006/relationships/hyperlink" Target="https://pbs.twimg.com/media/Dtq7YW-XcAEKd_u.jpg" TargetMode="External"/><Relationship Id="rId1245" Type="http://schemas.openxmlformats.org/officeDocument/2006/relationships/hyperlink" Target="https://pbs.twimg.com/media/DtontaUXQAEmS-2.jpg" TargetMode="External"/><Relationship Id="rId1452" Type="http://schemas.openxmlformats.org/officeDocument/2006/relationships/hyperlink" Target="http://epmundo.com/2018/contundente-pablo-casado-defiende-la-inviolabilidad-del-rey/?utm_source=twitter&amp;utm_medium=social&amp;utm_campaign=ReviveOldPost" TargetMode="External"/><Relationship Id="rId1897" Type="http://schemas.openxmlformats.org/officeDocument/2006/relationships/hyperlink" Target="https://www.lavanguardia.com/politica/20181203/453310860731/pablo-casado-exige-pedro-sanchez-convoque-elecciones-generales-pp-ahora-puede-crecer.html?utm_source=twitter_lv&amp;utm_medium=social" TargetMode="External"/><Relationship Id="rId2503" Type="http://schemas.openxmlformats.org/officeDocument/2006/relationships/hyperlink" Target="https://www.elespanol.com/opinion/tribunas/20181128/pablo-casado-enormidad-espana/356584339_12.html" TargetMode="External"/><Relationship Id="rId1105" Type="http://schemas.openxmlformats.org/officeDocument/2006/relationships/hyperlink" Target="http://bit.ly/EP_Venezuela" TargetMode="External"/><Relationship Id="rId1312" Type="http://schemas.openxmlformats.org/officeDocument/2006/relationships/hyperlink" Target="http://bit.ly/EP_Venezuela" TargetMode="External"/><Relationship Id="rId1757" Type="http://schemas.openxmlformats.org/officeDocument/2006/relationships/hyperlink" Target="https://www.elmundo.es/espana/2018/12/03/5c05442321efa0cc3d8b46bc.html" TargetMode="External"/><Relationship Id="rId1964" Type="http://schemas.openxmlformats.org/officeDocument/2006/relationships/hyperlink" Target="https://www.facebook.com/jl.sanchezgomez31" TargetMode="External"/><Relationship Id="rId2710" Type="http://schemas.openxmlformats.org/officeDocument/2006/relationships/hyperlink" Target="https://www.instagram.com/javigild/" TargetMode="External"/><Relationship Id="rId49" Type="http://schemas.openxmlformats.org/officeDocument/2006/relationships/hyperlink" Target="http://www.efe.com/" TargetMode="External"/><Relationship Id="rId1617" Type="http://schemas.openxmlformats.org/officeDocument/2006/relationships/hyperlink" Target="https://cantabrisimo.wordpress.com/" TargetMode="External"/><Relationship Id="rId1824" Type="http://schemas.openxmlformats.org/officeDocument/2006/relationships/hyperlink" Target="https://www.elmundo.es/espana/2018/12/03/5c05442321efa0cc3d8b46bc.html" TargetMode="External"/><Relationship Id="rId198" Type="http://schemas.openxmlformats.org/officeDocument/2006/relationships/hyperlink" Target="http://dozz.es/caa_k2" TargetMode="External"/><Relationship Id="rId2086" Type="http://schemas.openxmlformats.org/officeDocument/2006/relationships/hyperlink" Target="https://smoda.elpais.com/feminismo/la-pesadilla-de-impedir-el-aborto-a-las-mujeres-es-el-mejor-fotolibro-del-ano/" TargetMode="External"/><Relationship Id="rId2293" Type="http://schemas.openxmlformats.org/officeDocument/2006/relationships/hyperlink" Target="https://elpais.com/politica/2018/12/02/actualidad/1543774491_103148.html?id_externo_rsoc=TW_CC" TargetMode="External"/><Relationship Id="rId2598" Type="http://schemas.openxmlformats.org/officeDocument/2006/relationships/hyperlink" Target="https://www.facebook.com/mar.sangradorsalan/posts/2470161779677627" TargetMode="External"/><Relationship Id="rId265" Type="http://schemas.openxmlformats.org/officeDocument/2006/relationships/hyperlink" Target="https://www.europapress.es/nacional/noticia-casado-exige-sanchez-frenar-ya-kale-borroka-independentista-otro-155-cataluna-fuera-si-20181207143450.html" TargetMode="External"/><Relationship Id="rId472" Type="http://schemas.openxmlformats.org/officeDocument/2006/relationships/hyperlink" Target="https://m.eldiario.es/_324580bb" TargetMode="External"/><Relationship Id="rId2153" Type="http://schemas.openxmlformats.org/officeDocument/2006/relationships/hyperlink" Target="http://souto.com/" TargetMode="External"/><Relationship Id="rId2360" Type="http://schemas.openxmlformats.org/officeDocument/2006/relationships/hyperlink" Target="https://youtu.be/hCHzzWCaOUQ" TargetMode="External"/><Relationship Id="rId125" Type="http://schemas.openxmlformats.org/officeDocument/2006/relationships/hyperlink" Target="http://shr.gs/k83WNfQ" TargetMode="External"/><Relationship Id="rId332" Type="http://schemas.openxmlformats.org/officeDocument/2006/relationships/hyperlink" Target="https://t.me/AitorRiveiro" TargetMode="External"/><Relationship Id="rId777" Type="http://schemas.openxmlformats.org/officeDocument/2006/relationships/hyperlink" Target="https://m.eldiario.es/324580bb_843415739/" TargetMode="External"/><Relationship Id="rId984" Type="http://schemas.openxmlformats.org/officeDocument/2006/relationships/hyperlink" Target="http://misfitsgaming.gg/" TargetMode="External"/><Relationship Id="rId2013" Type="http://schemas.openxmlformats.org/officeDocument/2006/relationships/hyperlink" Target="http://independiente.com/" TargetMode="External"/><Relationship Id="rId2220" Type="http://schemas.openxmlformats.org/officeDocument/2006/relationships/hyperlink" Target="http://musichunters.es/" TargetMode="External"/><Relationship Id="rId2458" Type="http://schemas.openxmlformats.org/officeDocument/2006/relationships/hyperlink" Target="http://oficios2011.blogspot.com.ar/" TargetMode="External"/><Relationship Id="rId2665" Type="http://schemas.openxmlformats.org/officeDocument/2006/relationships/hyperlink" Target="http://pic.twitter.com/nWtgeiLGKv" TargetMode="External"/><Relationship Id="rId637" Type="http://schemas.openxmlformats.org/officeDocument/2006/relationships/hyperlink" Target="http://bit.ly/2QdW0ig" TargetMode="External"/><Relationship Id="rId844" Type="http://schemas.openxmlformats.org/officeDocument/2006/relationships/hyperlink" Target="https://www.libertaddigital.com/espana/politica/2018-12-06/javier-fernandez-lasquetty-nuevo-jefe-de-gabinete-de-casado-1276629457/" TargetMode="External"/><Relationship Id="rId1267" Type="http://schemas.openxmlformats.org/officeDocument/2006/relationships/hyperlink" Target="http://flip.it/RLFLLo" TargetMode="External"/><Relationship Id="rId1474" Type="http://schemas.openxmlformats.org/officeDocument/2006/relationships/hyperlink" Target="https://www.google.com/amp/s/www.elplural.com/politica/pablo-casado-debe-gobernar-la-lista-mas-votada-porque-los-ciudadanos-deciden-con-su-voto_207439102_amp" TargetMode="External"/><Relationship Id="rId1681" Type="http://schemas.openxmlformats.org/officeDocument/2006/relationships/hyperlink" Target="http://cadenaser.com/ser/2018/11/30/politica/1543613809_281010.html?ssm=fb" TargetMode="External"/><Relationship Id="rId2318" Type="http://schemas.openxmlformats.org/officeDocument/2006/relationships/hyperlink" Target="http://instagram.com/j_pdl" TargetMode="External"/><Relationship Id="rId2525" Type="http://schemas.openxmlformats.org/officeDocument/2006/relationships/hyperlink" Target="https://www.ecorepublicano.es/2018/11/apoteosico-zasca-pablo-casado-tras-su.html" TargetMode="External"/><Relationship Id="rId2732" Type="http://schemas.openxmlformats.org/officeDocument/2006/relationships/hyperlink" Target="http://nosolocine.net/" TargetMode="External"/><Relationship Id="rId704" Type="http://schemas.openxmlformats.org/officeDocument/2006/relationships/hyperlink" Target="http://dlvr.it/QszNpj" TargetMode="External"/><Relationship Id="rId911" Type="http://schemas.openxmlformats.org/officeDocument/2006/relationships/hyperlink" Target="http://instagram.com/consu_gf" TargetMode="External"/><Relationship Id="rId1127" Type="http://schemas.openxmlformats.org/officeDocument/2006/relationships/hyperlink" Target="https://frml.tv/86708" TargetMode="External"/><Relationship Id="rId1334" Type="http://schemas.openxmlformats.org/officeDocument/2006/relationships/hyperlink" Target="https://pbs.twimg.com/media/Dtm-H0wWsAEN3Y6.jpg" TargetMode="External"/><Relationship Id="rId1541" Type="http://schemas.openxmlformats.org/officeDocument/2006/relationships/hyperlink" Target="http://tarragonadigital.com/" TargetMode="External"/><Relationship Id="rId1779" Type="http://schemas.openxmlformats.org/officeDocument/2006/relationships/hyperlink" Target="https://www.elmundo.es/espana/2018/12/03/5c05442321efa0cc3d8b46bc.html" TargetMode="External"/><Relationship Id="rId1986" Type="http://schemas.openxmlformats.org/officeDocument/2006/relationships/hyperlink" Target="http://www.rafapiccola.com/" TargetMode="External"/><Relationship Id="rId40" Type="http://schemas.openxmlformats.org/officeDocument/2006/relationships/hyperlink" Target="http://listas.20minutos.es/otros/" TargetMode="External"/><Relationship Id="rId1401" Type="http://schemas.openxmlformats.org/officeDocument/2006/relationships/hyperlink" Target="http://www.qveremos.com/" TargetMode="External"/><Relationship Id="rId1639" Type="http://schemas.openxmlformats.org/officeDocument/2006/relationships/hyperlink" Target="https://twitter.com/TheAdrianKing/status/1069703140478472192" TargetMode="External"/><Relationship Id="rId1846" Type="http://schemas.openxmlformats.org/officeDocument/2006/relationships/hyperlink" Target="https://m.eldiario.es/_30f5150b" TargetMode="External"/><Relationship Id="rId1706" Type="http://schemas.openxmlformats.org/officeDocument/2006/relationships/hyperlink" Target="https://verne.elpais.com/verne/2018/12/03/articulo/1543829785_936778.html?id_externo_rsoc=TW_CM" TargetMode="External"/><Relationship Id="rId1913" Type="http://schemas.openxmlformats.org/officeDocument/2006/relationships/hyperlink" Target="http://www.lextres.com/" TargetMode="External"/><Relationship Id="rId287" Type="http://schemas.openxmlformats.org/officeDocument/2006/relationships/hyperlink" Target="http://instagram.com/canivell" TargetMode="External"/><Relationship Id="rId494" Type="http://schemas.openxmlformats.org/officeDocument/2006/relationships/hyperlink" Target="http://m.agustinbotines.webnode.es/" TargetMode="External"/><Relationship Id="rId2175" Type="http://schemas.openxmlformats.org/officeDocument/2006/relationships/hyperlink" Target="https://t.co/tX0hZXAnRs" TargetMode="External"/><Relationship Id="rId2382" Type="http://schemas.openxmlformats.org/officeDocument/2006/relationships/hyperlink" Target="http://moncloa.com/" TargetMode="External"/><Relationship Id="rId147"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354" Type="http://schemas.openxmlformats.org/officeDocument/2006/relationships/hyperlink" Target="https://www.eldiario.es/_324580bb" TargetMode="External"/><Relationship Id="rId799" Type="http://schemas.openxmlformats.org/officeDocument/2006/relationships/hyperlink" Target="https://www.vozpopuli.com/_47601a30" TargetMode="External"/><Relationship Id="rId1191" Type="http://schemas.openxmlformats.org/officeDocument/2006/relationships/hyperlink" Target="https://www.elmundo.es/espana/2018/12/05/5c06eb2afc6c839b5f8b4622.html" TargetMode="External"/><Relationship Id="rId2035" Type="http://schemas.openxmlformats.org/officeDocument/2006/relationships/hyperlink" Target="https://www.linkedin.com/in/violetaassiego" TargetMode="External"/><Relationship Id="rId2687" Type="http://schemas.openxmlformats.org/officeDocument/2006/relationships/hyperlink" Target="https://www.elplural.com/politica/pablo-casado-rosa-romero-sancion-partido-popular-cnmv-josep-borrell_207148102" TargetMode="External"/><Relationship Id="rId561" Type="http://schemas.openxmlformats.org/officeDocument/2006/relationships/hyperlink" Target="http://ver.20m.es/vo6o13" TargetMode="External"/><Relationship Id="rId659" Type="http://schemas.openxmlformats.org/officeDocument/2006/relationships/hyperlink" Target="https://trib.al/StbLYrX" TargetMode="External"/><Relationship Id="rId866" Type="http://schemas.openxmlformats.org/officeDocument/2006/relationships/hyperlink" Target="https://ift.tt/2E1SWP7" TargetMode="External"/><Relationship Id="rId1289" Type="http://schemas.openxmlformats.org/officeDocument/2006/relationships/hyperlink" Target="https://www.facebook.com/MFAEBSA/posts/10209963365999048" TargetMode="External"/><Relationship Id="rId1496" Type="http://schemas.openxmlformats.org/officeDocument/2006/relationships/hyperlink" Target="https://dimesisoytonto.com/" TargetMode="External"/><Relationship Id="rId2242" Type="http://schemas.openxmlformats.org/officeDocument/2006/relationships/hyperlink" Target="https://twitter.com/DrBrianMay/status/409467974429335552" TargetMode="External"/><Relationship Id="rId2547" Type="http://schemas.openxmlformats.org/officeDocument/2006/relationships/hyperlink" Target="http://mateosantamarta.blogspot.com/" TargetMode="External"/><Relationship Id="rId214" Type="http://schemas.openxmlformats.org/officeDocument/2006/relationships/hyperlink" Target="https://www.elplural.com/politica/caja-b-partido-popular-congreso-diputados-comision-investigacion-villarejo-pablo-casado_207693102" TargetMode="External"/><Relationship Id="rId421" Type="http://schemas.openxmlformats.org/officeDocument/2006/relationships/hyperlink" Target="http://lrzn.es/mbk7h2" TargetMode="External"/><Relationship Id="rId519" Type="http://schemas.openxmlformats.org/officeDocument/2006/relationships/hyperlink" Target="https://blogs.publico.es/strambotic/2018/12/frases-pablo-casado/" TargetMode="External"/><Relationship Id="rId1051" Type="http://schemas.openxmlformats.org/officeDocument/2006/relationships/hyperlink" Target="https://www.lne.es/asturias/2018/12/05/asturianistas-le-dan-madrenazu-pablo/2391958.html" TargetMode="External"/><Relationship Id="rId1149" Type="http://schemas.openxmlformats.org/officeDocument/2006/relationships/hyperlink" Target="http://pic.twitter.com/TugSpo2734" TargetMode="External"/><Relationship Id="rId1356" Type="http://schemas.openxmlformats.org/officeDocument/2006/relationships/hyperlink" Target="https://www.elmundo.es/espana/2018/12/04/5c067532fc6c83df478b45a2.html" TargetMode="External"/><Relationship Id="rId2102" Type="http://schemas.openxmlformats.org/officeDocument/2006/relationships/hyperlink" Target="http://www.noticias24horas.com/pablo-casado-un-hombre-feliz/" TargetMode="External"/><Relationship Id="rId2754" Type="http://schemas.openxmlformats.org/officeDocument/2006/relationships/hyperlink" Target="http://cort.as/3lzA" TargetMode="External"/><Relationship Id="rId726" Type="http://schemas.openxmlformats.org/officeDocument/2006/relationships/hyperlink" Target="http://www.lextres.com/" TargetMode="External"/><Relationship Id="rId933" Type="http://schemas.openxmlformats.org/officeDocument/2006/relationships/hyperlink" Target="https://pbs.twimg.com/media/Dtt32E3W0AAWxqD.jpg" TargetMode="External"/><Relationship Id="rId1009" Type="http://schemas.openxmlformats.org/officeDocument/2006/relationships/hyperlink" Target="https://www.zirigoza.eu/" TargetMode="External"/><Relationship Id="rId1563" Type="http://schemas.openxmlformats.org/officeDocument/2006/relationships/hyperlink" Target="https://www.youtube.com/c/alfilodelabrecha" TargetMode="External"/><Relationship Id="rId1770" Type="http://schemas.openxmlformats.org/officeDocument/2006/relationships/hyperlink" Target="https://www.elespanol.com/espana/politica/20181203/casado-gobierno-moreno-bonilla-cs-externo-vox/357964919_0.html" TargetMode="External"/><Relationship Id="rId1868" Type="http://schemas.openxmlformats.org/officeDocument/2006/relationships/hyperlink" Target="http://liberatibus.blogspot.com/" TargetMode="External"/><Relationship Id="rId2407" Type="http://schemas.openxmlformats.org/officeDocument/2006/relationships/hyperlink" Target="http://www.instant-gaming.com/igr/TDM999/" TargetMode="External"/><Relationship Id="rId2614" Type="http://schemas.openxmlformats.org/officeDocument/2006/relationships/hyperlink" Target="http://www.antonioburgos.com/abc/2018/12/re120218.html" TargetMode="External"/><Relationship Id="rId62" Type="http://schemas.openxmlformats.org/officeDocument/2006/relationships/hyperlink" Target="http://es.linkedin.com/in/marianosotogarcia/" TargetMode="External"/><Relationship Id="rId1216" Type="http://schemas.openxmlformats.org/officeDocument/2006/relationships/hyperlink" Target="https://www.larazon.es/elecciones-andaluzas/el-pp-ofrecera-a-cs-un-gobierno-de-coalicion-y-presidir-el-parlamento-NO20843961" TargetMode="External"/><Relationship Id="rId1423" Type="http://schemas.openxmlformats.org/officeDocument/2006/relationships/hyperlink" Target="https://www.eldiario.es/rastreador/Monde-advierte-Ciudadanos-Casado-normalizar-extrema-derecha_6_842775750.html" TargetMode="External"/><Relationship Id="rId1630" Type="http://schemas.openxmlformats.org/officeDocument/2006/relationships/hyperlink" Target="http://www.vladivostokmag.com/" TargetMode="External"/><Relationship Id="rId1728" Type="http://schemas.openxmlformats.org/officeDocument/2006/relationships/hyperlink" Target="https://twitter.com/pablocasado_/status/1069607994617458688" TargetMode="External"/><Relationship Id="rId1935" Type="http://schemas.openxmlformats.org/officeDocument/2006/relationships/hyperlink" Target="http://espana.abc.es/tbfk22" TargetMode="External"/><Relationship Id="rId2197" Type="http://schemas.openxmlformats.org/officeDocument/2006/relationships/hyperlink" Target="http://menoscanas.blogspot.com/" TargetMode="External"/><Relationship Id="rId169" Type="http://schemas.openxmlformats.org/officeDocument/2006/relationships/hyperlink" Target="http://discupasitemolesto.wordpress.com/" TargetMode="External"/><Relationship Id="rId376" Type="http://schemas.openxmlformats.org/officeDocument/2006/relationships/hyperlink" Target="https://m.europapress.es/nacional/noticia-casado-defiende-constitucion-porque-mejor-vacuna-contra-radicalismo-populismo-nacionalismo-20181206120543.html" TargetMode="External"/><Relationship Id="rId583" Type="http://schemas.openxmlformats.org/officeDocument/2006/relationships/hyperlink" Target="http://rosamariaartal.wordpress.com/" TargetMode="External"/><Relationship Id="rId790" Type="http://schemas.openxmlformats.org/officeDocument/2006/relationships/hyperlink" Target="http://www.veoinfo.com/pablo-casado-ficha-como-jefe-de-gabinete-a-javier-lasquetty-privatizador-de-la-sanidad-y-hombre-de-aznar-y-aguirre/" TargetMode="External"/><Relationship Id="rId2057" Type="http://schemas.openxmlformats.org/officeDocument/2006/relationships/hyperlink" Target="https://pbs.twimg.com/media/DteXbHkWkAAJCZl.jpg" TargetMode="External"/><Relationship Id="rId2264" Type="http://schemas.openxmlformats.org/officeDocument/2006/relationships/hyperlink" Target="http://inesgcaballo.blogspot.com/" TargetMode="External"/><Relationship Id="rId2471" Type="http://schemas.openxmlformats.org/officeDocument/2006/relationships/hyperlink" Target="http://bit.ly/2KPYwVW" TargetMode="External"/><Relationship Id="rId4" Type="http://schemas.openxmlformats.org/officeDocument/2006/relationships/hyperlink" Target="http://www.laverdad.es/" TargetMode="External"/><Relationship Id="rId236" Type="http://schemas.openxmlformats.org/officeDocument/2006/relationships/hyperlink" Target="http://www.lacerca.com/" TargetMode="External"/><Relationship Id="rId443" Type="http://schemas.openxmlformats.org/officeDocument/2006/relationships/hyperlink" Target="https://m.eldiario.es/_324581a7" TargetMode="External"/><Relationship Id="rId650" Type="http://schemas.openxmlformats.org/officeDocument/2006/relationships/hyperlink" Target="https://pbs.twimg.com/media/Dtvl9ncWsAAQyLL.jpg" TargetMode="External"/><Relationship Id="rId888" Type="http://schemas.openxmlformats.org/officeDocument/2006/relationships/hyperlink" Target="https://www.libertaddigital.com/espana/politica/2018-12-06/javier-fernandez-lasquetty-nuevo-jefe-de-gabinete-de-casado-1276629457/" TargetMode="External"/><Relationship Id="rId1073" Type="http://schemas.openxmlformats.org/officeDocument/2006/relationships/hyperlink" Target="https://www.huffingtonpost.es/2018/11/17/pablo-casado-los-espanoles-no-colonizabamos-lo-que-haciamos-era-tener-una-espana-mas-grande_a_23592393/" TargetMode="External"/><Relationship Id="rId1280" Type="http://schemas.openxmlformats.org/officeDocument/2006/relationships/hyperlink" Target="http://epmundo.com/2018/contundente-pablo-casado-defiende-la-inviolabilidad-del-rey/" TargetMode="External"/><Relationship Id="rId2124" Type="http://schemas.openxmlformats.org/officeDocument/2006/relationships/hyperlink" Target="http://skakeo.blogspot.com/" TargetMode="External"/><Relationship Id="rId2331" Type="http://schemas.openxmlformats.org/officeDocument/2006/relationships/hyperlink" Target="http://www.ramblalibre.com/" TargetMode="External"/><Relationship Id="rId2569" Type="http://schemas.openxmlformats.org/officeDocument/2006/relationships/hyperlink" Target="https://www.youtube.com/channel/UCY60GBj-H8SmayRG1UgDVWw" TargetMode="External"/><Relationship Id="rId2776" Type="http://schemas.openxmlformats.org/officeDocument/2006/relationships/hyperlink" Target="https://pbs.twimg.com/media/DtQk5o1VsAAHgW6.jpg" TargetMode="External"/><Relationship Id="rId303" Type="http://schemas.openxmlformats.org/officeDocument/2006/relationships/hyperlink" Target="https://www.elplural.com/politica/caja-b-partido-popular-congreso-diputados-comision-investigacion-villarejo-pablo-casado_207693102" TargetMode="External"/><Relationship Id="rId748" Type="http://schemas.openxmlformats.org/officeDocument/2006/relationships/hyperlink" Target="https://m.eldiario.es/_324580bb" TargetMode="External"/><Relationship Id="rId955" Type="http://schemas.openxmlformats.org/officeDocument/2006/relationships/hyperlink" Target="https://www.libertaddigital.com/espana/politica/2018-12-06/javier-fernandez-lasquetty-nuevo-jefe-de-gabinete-de-casado-1276629457/" TargetMode="External"/><Relationship Id="rId1140" Type="http://schemas.openxmlformats.org/officeDocument/2006/relationships/hyperlink" Target="http://magicfrostyspain.com/" TargetMode="External"/><Relationship Id="rId1378" Type="http://schemas.openxmlformats.org/officeDocument/2006/relationships/hyperlink" Target="https://www.huffingtonpost.es/2018/12/04/pedro-sanchez-entrevista-telecinco-pedro-piqueras-tras-elecciones-andaluzas_a_23608490/" TargetMode="External"/><Relationship Id="rId1585" Type="http://schemas.openxmlformats.org/officeDocument/2006/relationships/hyperlink" Target="https://pbs.twimg.com/media/DtktTkFX4AEhIVc.jpg" TargetMode="External"/><Relationship Id="rId1792" Type="http://schemas.openxmlformats.org/officeDocument/2006/relationships/hyperlink" Target="https://www.youtube.com/channel/UCzAeV22GnQxwUBokDOEyb4A" TargetMode="External"/><Relationship Id="rId2429" Type="http://schemas.openxmlformats.org/officeDocument/2006/relationships/hyperlink" Target="https://pbs.twimg.com/media/DtbuaK6WoAIcRmi.jpg" TargetMode="External"/><Relationship Id="rId2636" Type="http://schemas.openxmlformats.org/officeDocument/2006/relationships/hyperlink" Target="https://thenewsatyourfingertips.wordpress.com/2018/12/02/andalucia-marcara-hoy-el-futuro-de-pedro-sanchez-y-de-pablo-casado/" TargetMode="External"/><Relationship Id="rId84" Type="http://schemas.openxmlformats.org/officeDocument/2006/relationships/hyperlink" Target="http://www.huffingtonpost.es/" TargetMode="External"/><Relationship Id="rId510" Type="http://schemas.openxmlformats.org/officeDocument/2006/relationships/hyperlink" Target="http://www.lextres.com/" TargetMode="External"/><Relationship Id="rId608" Type="http://schemas.openxmlformats.org/officeDocument/2006/relationships/hyperlink" Target="http://cadenaser.com/ser/2018/12/06/politica/1544110445_063531.html" TargetMode="External"/><Relationship Id="rId815" Type="http://schemas.openxmlformats.org/officeDocument/2006/relationships/hyperlink" Target="http://atres.red/z7jrv3" TargetMode="External"/><Relationship Id="rId1238" Type="http://schemas.openxmlformats.org/officeDocument/2006/relationships/hyperlink" Target="http://www.elperiodico.com/" TargetMode="External"/><Relationship Id="rId1445" Type="http://schemas.openxmlformats.org/officeDocument/2006/relationships/hyperlink" Target="http://www.elindependiente.com/" TargetMode="External"/><Relationship Id="rId1652" Type="http://schemas.openxmlformats.org/officeDocument/2006/relationships/hyperlink" Target="http://jordipsalvador.info/" TargetMode="External"/><Relationship Id="rId1000" Type="http://schemas.openxmlformats.org/officeDocument/2006/relationships/hyperlink" Target="https://pbs.twimg.com/media/DtrrYs8W0AET8ZR.jpg" TargetMode="External"/><Relationship Id="rId1305" Type="http://schemas.openxmlformats.org/officeDocument/2006/relationships/hyperlink" Target="https://www.voxespana.es/" TargetMode="External"/><Relationship Id="rId1957" Type="http://schemas.openxmlformats.org/officeDocument/2006/relationships/hyperlink" Target="https://www.eldiario.es/politica/PP-constitucionalistas-justifica-muleta-Vox_0_842365847.html" TargetMode="External"/><Relationship Id="rId2703" Type="http://schemas.openxmlformats.org/officeDocument/2006/relationships/hyperlink" Target="http://meneame.net/" TargetMode="External"/><Relationship Id="rId1512" Type="http://schemas.openxmlformats.org/officeDocument/2006/relationships/hyperlink" Target="https://www.elplural.com/politica/pablo-casado-rechaza-suprimir-inviolabilidad-del-rey-problema_207544102" TargetMode="External"/><Relationship Id="rId1817" Type="http://schemas.openxmlformats.org/officeDocument/2006/relationships/hyperlink" Target="https://www.20minutos.es/noticia/3507418/0/pablo-casado-pp-elecciones-andalucia-pactos-ciudadanos-vox/?utm_source=twitter.com&amp;utm_medium=socialshare&amp;utm_campaign=desktop" TargetMode="External"/><Relationship Id="rId11" Type="http://schemas.openxmlformats.org/officeDocument/2006/relationships/hyperlink" Target="https://kaosenlared.net/tratado-de-utrecht-dos/" TargetMode="External"/><Relationship Id="rId398" Type="http://schemas.openxmlformats.org/officeDocument/2006/relationships/hyperlink" Target="http://shr.gs/k8XbZBF" TargetMode="External"/><Relationship Id="rId2079" Type="http://schemas.openxmlformats.org/officeDocument/2006/relationships/hyperlink" Target="http://canalapuesta.com/guests/tipster/254" TargetMode="External"/><Relationship Id="rId160" Type="http://schemas.openxmlformats.org/officeDocument/2006/relationships/hyperlink" Target="http://shr.gs/k83WNfQ" TargetMode="External"/><Relationship Id="rId2286" Type="http://schemas.openxmlformats.org/officeDocument/2006/relationships/hyperlink" Target="https://ift.tt/2U8tLjB" TargetMode="External"/><Relationship Id="rId2493" Type="http://schemas.openxmlformats.org/officeDocument/2006/relationships/hyperlink" Target="http://www.masaborreguera.com/" TargetMode="External"/><Relationship Id="rId258" Type="http://schemas.openxmlformats.org/officeDocument/2006/relationships/hyperlink" Target="http://pic.twitter.com/axfIad4v7k" TargetMode="External"/><Relationship Id="rId465" Type="http://schemas.openxmlformats.org/officeDocument/2006/relationships/hyperlink" Target="https://pbs.twimg.com/media/DtvjNk4W4AA7gVr.jpg" TargetMode="External"/><Relationship Id="rId672" Type="http://schemas.openxmlformats.org/officeDocument/2006/relationships/hyperlink" Target="http://www.clinica-vega.com/" TargetMode="External"/><Relationship Id="rId1095" Type="http://schemas.openxmlformats.org/officeDocument/2006/relationships/hyperlink" Target="http://about.me/albert_nevado" TargetMode="External"/><Relationship Id="rId2146" Type="http://schemas.openxmlformats.org/officeDocument/2006/relationships/hyperlink" Target="https://www.mundiario.com/seccion/galicia" TargetMode="External"/><Relationship Id="rId2353" Type="http://schemas.openxmlformats.org/officeDocument/2006/relationships/hyperlink" Target="https://elperiodismomoderno.wordpress.com/" TargetMode="External"/><Relationship Id="rId2560" Type="http://schemas.openxmlformats.org/officeDocument/2006/relationships/hyperlink" Target="https://nuevarevolucion.es/poesia-critica-coplas-de-mingo-revulgo-o-de-como-pablo-casado-logro-doblegar-la-naturaleza/" TargetMode="External"/><Relationship Id="rId2798" Type="http://schemas.openxmlformats.org/officeDocument/2006/relationships/hyperlink" Target="http://www.albertoarego.com/" TargetMode="External"/><Relationship Id="rId118" Type="http://schemas.openxmlformats.org/officeDocument/2006/relationships/hyperlink" Target="http://pic.twitter.com/Vs551K2eiQ" TargetMode="External"/><Relationship Id="rId325" Type="http://schemas.openxmlformats.org/officeDocument/2006/relationships/hyperlink" Target="http://www.huffingtonpost.es/" TargetMode="External"/><Relationship Id="rId532" Type="http://schemas.openxmlformats.org/officeDocument/2006/relationships/hyperlink" Target="https://buff.ly/2AWmWsv" TargetMode="External"/><Relationship Id="rId977" Type="http://schemas.openxmlformats.org/officeDocument/2006/relationships/hyperlink" Target="http://press.archez.com/" TargetMode="External"/><Relationship Id="rId1162" Type="http://schemas.openxmlformats.org/officeDocument/2006/relationships/hyperlink" Target="http://asambleademajaras.com/" TargetMode="External"/><Relationship Id="rId2006" Type="http://schemas.openxmlformats.org/officeDocument/2006/relationships/hyperlink" Target="https://www.elplural.com/politica/elecciones-andalucia-zapatero-resultados-analisis-cis-tezanos-patido-popular-extrema-derecha_207435102" TargetMode="External"/><Relationship Id="rId2213" Type="http://schemas.openxmlformats.org/officeDocument/2006/relationships/hyperlink" Target="http://morecar.es/" TargetMode="External"/><Relationship Id="rId2420" Type="http://schemas.openxmlformats.org/officeDocument/2006/relationships/hyperlink" Target="http://mrwolfteachingcorner.blogspot.es/" TargetMode="External"/><Relationship Id="rId2658" Type="http://schemas.openxmlformats.org/officeDocument/2006/relationships/hyperlink" Target="https://www.huffingtonpost.es/2018/12/01/la-comentada-cobra-de-pablo-casado-al-presidente-del-pp-de-granada_a_23605887/?utm_hp_ref=es-homepage" TargetMode="External"/><Relationship Id="rId837" Type="http://schemas.openxmlformats.org/officeDocument/2006/relationships/hyperlink" Target="http://antonioperal.blogspot.com/" TargetMode="External"/><Relationship Id="rId1022" Type="http://schemas.openxmlformats.org/officeDocument/2006/relationships/hyperlink" Target="http://epmundo.com/" TargetMode="External"/><Relationship Id="rId1467" Type="http://schemas.openxmlformats.org/officeDocument/2006/relationships/hyperlink" Target="https://pbs.twimg.com/media/DtltsFpX4AIrWrQ.jpg" TargetMode="External"/><Relationship Id="rId1674" Type="http://schemas.openxmlformats.org/officeDocument/2006/relationships/hyperlink" Target="https://m.eldiario.es/_316622b4" TargetMode="External"/><Relationship Id="rId1881" Type="http://schemas.openxmlformats.org/officeDocument/2006/relationships/hyperlink" Target="http://pic.twitter.com/EuDxsd3kaY" TargetMode="External"/><Relationship Id="rId2518" Type="http://schemas.openxmlformats.org/officeDocument/2006/relationships/hyperlink" Target="https://www.elmundo.es/espana/2018/12/02/5c02dc68fc6c83e67a8b45a2.html" TargetMode="External"/><Relationship Id="rId2725" Type="http://schemas.openxmlformats.org/officeDocument/2006/relationships/hyperlink" Target="http://cadenaser.com/emisora/2018/11/30/radio_cordoba/1543603194_695608.html?ssm=tw" TargetMode="External"/><Relationship Id="rId904" Type="http://schemas.openxmlformats.org/officeDocument/2006/relationships/hyperlink" Target="http://www.ppcastellon.es/" TargetMode="External"/><Relationship Id="rId1327" Type="http://schemas.openxmlformats.org/officeDocument/2006/relationships/hyperlink" Target="https://www.elmundo.es/espana/2018/12/04/5c067532fc6c83df478b45a2.html" TargetMode="External"/><Relationship Id="rId1534" Type="http://schemas.openxmlformats.org/officeDocument/2006/relationships/hyperlink" Target="http://rokambol.com/los-dos-hijos-de-pablo-casado-nacieron-con-el-bup-ya-aprobado-segun-la-matrona-los-atendio-en-el-parto/" TargetMode="External"/><Relationship Id="rId1741" Type="http://schemas.openxmlformats.org/officeDocument/2006/relationships/hyperlink" Target="https://twitter.com/notafaso/status/1068525421510090754" TargetMode="External"/><Relationship Id="rId1979" Type="http://schemas.openxmlformats.org/officeDocument/2006/relationships/hyperlink" Target="http://verne.es/" TargetMode="External"/><Relationship Id="rId33" Type="http://schemas.openxmlformats.org/officeDocument/2006/relationships/hyperlink" Target="https://www.20minutos.es/" TargetMode="External"/><Relationship Id="rId1601" Type="http://schemas.openxmlformats.org/officeDocument/2006/relationships/hyperlink" Target="http://www.elnacional.cat/es/" TargetMode="External"/><Relationship Id="rId1839" Type="http://schemas.openxmlformats.org/officeDocument/2006/relationships/hyperlink" Target="https://www.elmundo.es/espana/2018/12/03/5c05442321efa0cc3d8b46bc.html" TargetMode="External"/><Relationship Id="rId182" Type="http://schemas.openxmlformats.org/officeDocument/2006/relationships/hyperlink" Target="http://www.elplural.com/" TargetMode="External"/><Relationship Id="rId1906" Type="http://schemas.openxmlformats.org/officeDocument/2006/relationships/hyperlink" Target="https://www.diariodepontevedra.es/blog/miguel-olarte/soberbia/201812021514151011975.html" TargetMode="External"/><Relationship Id="rId487" Type="http://schemas.openxmlformats.org/officeDocument/2006/relationships/hyperlink" Target="http://informedesdelafrontera.blogspot.com/" TargetMode="External"/><Relationship Id="rId694" Type="http://schemas.openxmlformats.org/officeDocument/2006/relationships/hyperlink" Target="https://ift.tt/2BVaZF8" TargetMode="External"/><Relationship Id="rId2070" Type="http://schemas.openxmlformats.org/officeDocument/2006/relationships/hyperlink" Target="https://www.instagram.com/crisnpatience/" TargetMode="External"/><Relationship Id="rId2168" Type="http://schemas.openxmlformats.org/officeDocument/2006/relationships/hyperlink" Target="https://pbs.twimg.com/media/DtchzcEXgAYrp7H.jpg" TargetMode="External"/><Relationship Id="rId2375" Type="http://schemas.openxmlformats.org/officeDocument/2006/relationships/hyperlink" Target="http://cadenaser.com/m/autor/maria_jesus_guemes_moragon/a/" TargetMode="External"/><Relationship Id="rId347" Type="http://schemas.openxmlformats.org/officeDocument/2006/relationships/hyperlink" Target="http://blogs.ccma.cat/jordicervera" TargetMode="External"/><Relationship Id="rId999" Type="http://schemas.openxmlformats.org/officeDocument/2006/relationships/hyperlink" Target="http://www.multiforo.eu/" TargetMode="External"/><Relationship Id="rId1184" Type="http://schemas.openxmlformats.org/officeDocument/2006/relationships/hyperlink" Target="https://www.libertaddigital.com/opinion/pablo-casado/la-regeneracion-de-espana-64431/" TargetMode="External"/><Relationship Id="rId2028" Type="http://schemas.openxmlformats.org/officeDocument/2006/relationships/hyperlink" Target="https://twitter.com/PilarHLuc/status/1069371632945414147" TargetMode="External"/><Relationship Id="rId2582" Type="http://schemas.openxmlformats.org/officeDocument/2006/relationships/hyperlink" Target="http://madrid.democraciarealya.es/" TargetMode="External"/><Relationship Id="rId554" Type="http://schemas.openxmlformats.org/officeDocument/2006/relationships/hyperlink" Target="http://atres.red/qrnqp2" TargetMode="External"/><Relationship Id="rId761" Type="http://schemas.openxmlformats.org/officeDocument/2006/relationships/hyperlink" Target="https://ift.tt/2zL8ROF" TargetMode="External"/><Relationship Id="rId859" Type="http://schemas.openxmlformats.org/officeDocument/2006/relationships/hyperlink" Target="https://pbs.twimg.com/media/DtujrLbX4AAyBgz.jpg" TargetMode="External"/><Relationship Id="rId1391" Type="http://schemas.openxmlformats.org/officeDocument/2006/relationships/hyperlink" Target="http://www.scherzo.es/" TargetMode="External"/><Relationship Id="rId1489" Type="http://schemas.openxmlformats.org/officeDocument/2006/relationships/hyperlink" Target="https://www.elconfidencial.com/elecciones-andalucia/2018-12-04/elecciones-andalucia-pablo-casado-pp-vox-ciudadanos_1685222/?utm_source=twitter&amp;utm_medium=social&amp;utm_campaign=BotoneraWeb" TargetMode="External"/><Relationship Id="rId1696" Type="http://schemas.openxmlformats.org/officeDocument/2006/relationships/hyperlink" Target="https://www.youtube.com/c/alfilodelabrecha" TargetMode="External"/><Relationship Id="rId2235" Type="http://schemas.openxmlformats.org/officeDocument/2006/relationships/hyperlink" Target="http://www.instagram.com/luisbt3" TargetMode="External"/><Relationship Id="rId2442" Type="http://schemas.openxmlformats.org/officeDocument/2006/relationships/hyperlink" Target="http://ow.ly/O4uI30mPF8T" TargetMode="External"/><Relationship Id="rId207" Type="http://schemas.openxmlformats.org/officeDocument/2006/relationships/hyperlink" Target="http://www.elconfidencialdigital.com/" TargetMode="External"/><Relationship Id="rId414" Type="http://schemas.openxmlformats.org/officeDocument/2006/relationships/hyperlink" Target="https://pbs.twimg.com/media/DtwtE_-XQAIDmSU.jpg" TargetMode="External"/><Relationship Id="rId621" Type="http://schemas.openxmlformats.org/officeDocument/2006/relationships/hyperlink" Target="https://www.eldiario.es/_324581a7" TargetMode="External"/><Relationship Id="rId1044" Type="http://schemas.openxmlformats.org/officeDocument/2006/relationships/hyperlink" Target="http://epmundo.com/2018/contundente-pablo-casado-defiende-la-inviolabilidad-del-rey/" TargetMode="External"/><Relationship Id="rId1251" Type="http://schemas.openxmlformats.org/officeDocument/2006/relationships/hyperlink" Target="https://pbs.twimg.com/media/DtomcrgXQAAgaqE.jpg" TargetMode="External"/><Relationship Id="rId1349" Type="http://schemas.openxmlformats.org/officeDocument/2006/relationships/hyperlink" Target="https://kaosenlared.net/tratado-de-utrecht-dos/" TargetMode="External"/><Relationship Id="rId2302" Type="http://schemas.openxmlformats.org/officeDocument/2006/relationships/hyperlink" Target="https://www.instagram.com/guatdafaq/" TargetMode="External"/><Relationship Id="rId2747" Type="http://schemas.openxmlformats.org/officeDocument/2006/relationships/hyperlink" Target="https://www.publico.es/tremending/2018/11/30/hoy-en-parecidos-razonables-pablo-casado-y-albert-rivera-se-visten-exactamente-igual-el-mismo-dia/?utm_source=facebook&amp;utm_medium=social&amp;utm_campaign=tremending" TargetMode="External"/><Relationship Id="rId719" Type="http://schemas.openxmlformats.org/officeDocument/2006/relationships/hyperlink" Target="http://eldiario.es/" TargetMode="External"/><Relationship Id="rId926" Type="http://schemas.openxmlformats.org/officeDocument/2006/relationships/hyperlink" Target="https://www.libertaddigital.com/espana/politica/2018-12-06/javier-fernandez-lasquetty-nuevo-jefe-de-gabinete-de-casado-1276629457/" TargetMode="External"/><Relationship Id="rId1111" Type="http://schemas.openxmlformats.org/officeDocument/2006/relationships/hyperlink" Target="https://www.eleconomista.es/politica/noticias/9564701/12/18/El-PSOE-seguiria-sacando-mas-de-10-puntos-a-PP-y-Ciudadanos-en-unas-generales-segun-el-CIS-elaborado-justo-antes-de-las-andaluzas.html" TargetMode="External"/><Relationship Id="rId1556" Type="http://schemas.openxmlformats.org/officeDocument/2006/relationships/hyperlink" Target="https://www.elconfidencial.com/elecciones-andalucia/2018-12-04/elecciones-andalucia-pablo-casado-pp-vox-ciudadanos_1685222/?utm_campaign=BotoneraWebapp&amp;utm_source=twitter&amp;utm_medium=social" TargetMode="External"/><Relationship Id="rId1763" Type="http://schemas.openxmlformats.org/officeDocument/2006/relationships/hyperlink" Target="http://elrincndedonnadie.blogspot.com/" TargetMode="External"/><Relationship Id="rId1970" Type="http://schemas.openxmlformats.org/officeDocument/2006/relationships/hyperlink" Target="http://veoinfo.com/" TargetMode="External"/><Relationship Id="rId2607" Type="http://schemas.openxmlformats.org/officeDocument/2006/relationships/hyperlink" Target="http://alcantarillasocial.com/author/protestona1" TargetMode="External"/><Relationship Id="rId55" Type="http://schemas.openxmlformats.org/officeDocument/2006/relationships/hyperlink" Target="https://www.somosregion.es/garre-el-pp-puede-estar-jugando-con-fuego-con-nuevas-promesas-vacias-a-los-regantes/" TargetMode="External"/><Relationship Id="rId1209" Type="http://schemas.openxmlformats.org/officeDocument/2006/relationships/hyperlink" Target="https://bit.ly/2QxsjZ7" TargetMode="External"/><Relationship Id="rId1416" Type="http://schemas.openxmlformats.org/officeDocument/2006/relationships/hyperlink" Target="http://www.enocasionesmicroescribo.wordpress.com/" TargetMode="External"/><Relationship Id="rId1623" Type="http://schemas.openxmlformats.org/officeDocument/2006/relationships/hyperlink" Target="https://pbs.twimg.com/media/DtkGOMEW0AAccgc.jpg" TargetMode="External"/><Relationship Id="rId1830" Type="http://schemas.openxmlformats.org/officeDocument/2006/relationships/hyperlink" Target="http://www.multiforo.eu/" TargetMode="External"/><Relationship Id="rId1928" Type="http://schemas.openxmlformats.org/officeDocument/2006/relationships/hyperlink" Target="http://www.elpoetaestaescribiendo.blogspot.com.es/" TargetMode="External"/><Relationship Id="rId2092" Type="http://schemas.openxmlformats.org/officeDocument/2006/relationships/hyperlink" Target="http://listas.20minutos.es/otros/" TargetMode="External"/><Relationship Id="rId271" Type="http://schemas.openxmlformats.org/officeDocument/2006/relationships/hyperlink" Target="http://www.catradio.cat/" TargetMode="External"/><Relationship Id="rId2397" Type="http://schemas.openxmlformats.org/officeDocument/2006/relationships/hyperlink" Target="http://cronicassatiricas.com/" TargetMode="External"/><Relationship Id="rId66" Type="http://schemas.openxmlformats.org/officeDocument/2006/relationships/hyperlink" Target="https://pbs.twimg.com/media/Dt5e8bcVAAAH4Uo.jpg" TargetMode="External"/><Relationship Id="rId131" Type="http://schemas.openxmlformats.org/officeDocument/2006/relationships/hyperlink" Target="https://www.elplural.com/politica/caja-b-partido-popular-congreso-diputados-comision-investigacion-villarejo-pablo-casado_207693102" TargetMode="External"/><Relationship Id="rId369" Type="http://schemas.openxmlformats.org/officeDocument/2006/relationships/hyperlink" Target="https://pbs.twimg.com/media/DtzIb58W0AI-hVZ.jpg" TargetMode="External"/><Relationship Id="rId576" Type="http://schemas.openxmlformats.org/officeDocument/2006/relationships/hyperlink" Target="http://ver.20m.es/vo6o12" TargetMode="External"/><Relationship Id="rId783" Type="http://schemas.openxmlformats.org/officeDocument/2006/relationships/hyperlink" Target="http://www.hispanidad.com/" TargetMode="External"/><Relationship Id="rId990" Type="http://schemas.openxmlformats.org/officeDocument/2006/relationships/hyperlink" Target="http://theobjective.com/" TargetMode="External"/><Relationship Id="rId1427" Type="http://schemas.openxmlformats.org/officeDocument/2006/relationships/hyperlink" Target="http://epmundo.com/2018/contundente-pablo-casado-defiende-la-inviolabilidad-del-rey/?utm_source=twitter&amp;utm_medium=social&amp;utm_campaign=ReviveOldPost" TargetMode="External"/><Relationship Id="rId1634" Type="http://schemas.openxmlformats.org/officeDocument/2006/relationships/hyperlink" Target="https://pbs.twimg.com/media/DtkCqCeVAAAdIhm.jpg" TargetMode="External"/><Relationship Id="rId1841" Type="http://schemas.openxmlformats.org/officeDocument/2006/relationships/hyperlink" Target="https://elpais.com/politica/2018/12/03/actualidad/1543847174_403261.html?id_externo_rsoc=TW_CC" TargetMode="External"/><Relationship Id="rId2257" Type="http://schemas.openxmlformats.org/officeDocument/2006/relationships/hyperlink" Target="https://pbs.twimg.com/media/DtcgD1eWoAAXdu2.jpg" TargetMode="External"/><Relationship Id="rId2464" Type="http://schemas.openxmlformats.org/officeDocument/2006/relationships/hyperlink" Target="https://pbs.twimg.com/media/Dta8n3xVsAAFzzs.jpg" TargetMode="External"/><Relationship Id="rId2671" Type="http://schemas.openxmlformats.org/officeDocument/2006/relationships/hyperlink" Target="https://twitter.com/AdelanteAND/status/1068605225370562560" TargetMode="External"/><Relationship Id="rId229" Type="http://schemas.openxmlformats.org/officeDocument/2006/relationships/hyperlink" Target="http://esradio.libertaddigital.com/es-la-tarde-de-dieter/" TargetMode="External"/><Relationship Id="rId436" Type="http://schemas.openxmlformats.org/officeDocument/2006/relationships/hyperlink" Target="https://www.eldiario.es/_324581a7" TargetMode="External"/><Relationship Id="rId643" Type="http://schemas.openxmlformats.org/officeDocument/2006/relationships/hyperlink" Target="http://www.megustaleer.com/libros/palabra-de-dios-tuitero/AG14848" TargetMode="External"/><Relationship Id="rId1066" Type="http://schemas.openxmlformats.org/officeDocument/2006/relationships/hyperlink" Target="http://cincodias.com/" TargetMode="External"/><Relationship Id="rId1273" Type="http://schemas.openxmlformats.org/officeDocument/2006/relationships/hyperlink" Target="https://m.eldiario.es/_323ad545" TargetMode="External"/><Relationship Id="rId1480" Type="http://schemas.openxmlformats.org/officeDocument/2006/relationships/hyperlink" Target="http://www.multiforo.eu/" TargetMode="External"/><Relationship Id="rId1939" Type="http://schemas.openxmlformats.org/officeDocument/2006/relationships/hyperlink" Target="https://pbs.twimg.com/media/DtfoK7RWwAAytg1.jpg" TargetMode="External"/><Relationship Id="rId2117" Type="http://schemas.openxmlformats.org/officeDocument/2006/relationships/hyperlink" Target="https://www.20minutos.es/noticia/3507206/0/pablo-casado-primera-piedra-pp-vuelva-gobierno-espana/" TargetMode="External"/><Relationship Id="rId2324" Type="http://schemas.openxmlformats.org/officeDocument/2006/relationships/hyperlink" Target="http://ask.fm/bribriblibli_9?utm_source=twitter&amp;utm_medium=social&amp;utm_campaign=profile_own" TargetMode="External"/><Relationship Id="rId2769" Type="http://schemas.openxmlformats.org/officeDocument/2006/relationships/hyperlink" Target="https://ctxt.es/es/20181129/Firmas/23175/Pablo-Casado-inmigraci%C3%B3n-Gerardo-Tec%C3%A9-buenos-modales.htm" TargetMode="External"/><Relationship Id="rId850" Type="http://schemas.openxmlformats.org/officeDocument/2006/relationships/hyperlink" Target="https://pbs.twimg.com/media/Dtuk53TV4AAMA1n.jpg" TargetMode="External"/><Relationship Id="rId948" Type="http://schemas.openxmlformats.org/officeDocument/2006/relationships/hyperlink" Target="https://pbs.twimg.com/media/DttbBj1UcAAqtde.jpg" TargetMode="External"/><Relationship Id="rId1133" Type="http://schemas.openxmlformats.org/officeDocument/2006/relationships/hyperlink" Target="https://www.libertaddigital.com/espana/politica/2018-12-05/isabel-diaz-ayuso-lo-que-viene-en-contra-es-un-frente-popular-que-quiere-llevarnos-a-una-dictadura-1276629381/" TargetMode="External"/><Relationship Id="rId1578" Type="http://schemas.openxmlformats.org/officeDocument/2006/relationships/hyperlink" Target="http://www.antena3.com/noticias/" TargetMode="External"/><Relationship Id="rId1701" Type="http://schemas.openxmlformats.org/officeDocument/2006/relationships/hyperlink" Target="https://www.elperiodico.com/es/politica/20181203/pp-elecciones-andalucia-pactos-ciudadanos-vox-moreno-" TargetMode="External"/><Relationship Id="rId1785" Type="http://schemas.openxmlformats.org/officeDocument/2006/relationships/hyperlink" Target="http://lagacetadealmeria.es/pablo-casado-exige-a-sanchez-que-convoque-elecciones-de-inmediato-tras-el-batacazo-electoral-del-psoe-en-andalucia/" TargetMode="External"/><Relationship Id="rId1992" Type="http://schemas.openxmlformats.org/officeDocument/2006/relationships/hyperlink" Target="http://cadenaser.com/emisora/2018/11/30/radio_cordoba/1543603194_695608.html?ssm=tw" TargetMode="External"/><Relationship Id="rId2531" Type="http://schemas.openxmlformats.org/officeDocument/2006/relationships/hyperlink" Target="https://www.elconfidencialdigital.com/articulo/politica/pablo-casado-prepara-limpia-pp-aprovechando-derrotas-autonomicas/20181127191603118694.html" TargetMode="External"/><Relationship Id="rId2629" Type="http://schemas.openxmlformats.org/officeDocument/2006/relationships/hyperlink" Target="http://pic.twitter.com/ST15Tii0SX" TargetMode="External"/><Relationship Id="rId77" Type="http://schemas.openxmlformats.org/officeDocument/2006/relationships/hyperlink" Target="https://www.laverdad.es/murcia/sigue-directo-presentacion-20181208125721-nt.html" TargetMode="External"/><Relationship Id="rId282" Type="http://schemas.openxmlformats.org/officeDocument/2006/relationships/hyperlink" Target="http://www.eldiario.es/" TargetMode="External"/><Relationship Id="rId503" Type="http://schemas.openxmlformats.org/officeDocument/2006/relationships/hyperlink" Target="https://www.20minutos.es/noticia/3510534/0/pablo-casado-recula-vox-andalucia-pactos-cs?utm_source=twitter.com&amp;utm_medium=socialshare&amp;utm_campaign=mobile_app" TargetMode="External"/><Relationship Id="rId587" Type="http://schemas.openxmlformats.org/officeDocument/2006/relationships/hyperlink" Target="https://twitter.com/grancocolio/status/1070682195440926720" TargetMode="External"/><Relationship Id="rId710" Type="http://schemas.openxmlformats.org/officeDocument/2006/relationships/hyperlink" Target="http://cronicadigitalcomarcal.blogspot.com/" TargetMode="External"/><Relationship Id="rId808" Type="http://schemas.openxmlformats.org/officeDocument/2006/relationships/hyperlink" Target="http://www.lasexta.com/noticias/" TargetMode="External"/><Relationship Id="rId1340" Type="http://schemas.openxmlformats.org/officeDocument/2006/relationships/hyperlink" Target="https://pbs.twimg.com/media/Dtl49YwWwAAq9BU.jpg" TargetMode="External"/><Relationship Id="rId1438" Type="http://schemas.openxmlformats.org/officeDocument/2006/relationships/hyperlink" Target="http://okdiario.com/" TargetMode="External"/><Relationship Id="rId1645" Type="http://schemas.openxmlformats.org/officeDocument/2006/relationships/hyperlink" Target="https://www.elnacional.cat/enblau/es/television/pablo-casado-albert-rivera-esta-passant-marc-giro-vestidos-iguales_331281_102.html" TargetMode="External"/><Relationship Id="rId2170" Type="http://schemas.openxmlformats.org/officeDocument/2006/relationships/hyperlink" Target="http://www.nicolasrivera.be/" TargetMode="External"/><Relationship Id="rId2268" Type="http://schemas.openxmlformats.org/officeDocument/2006/relationships/hyperlink" Target="http://about.me/beatrizcaballero" TargetMode="External"/><Relationship Id="rId8" Type="http://schemas.openxmlformats.org/officeDocument/2006/relationships/hyperlink" Target="https://okdiario.com/espana/2018/12/08/pablo-casado-llama-sus-ex-votantes-volver-pp-3442945?utm_term=Autofeed&amp;utm_campaign=ok&amp;utm_medium=Social&amp;utm_source=Twitter" TargetMode="External"/><Relationship Id="rId142" Type="http://schemas.openxmlformats.org/officeDocument/2006/relationships/hyperlink" Target="https://kaosenlared.net/tratado-de-utrecht-dos/" TargetMode="External"/><Relationship Id="rId447" Type="http://schemas.openxmlformats.org/officeDocument/2006/relationships/hyperlink" Target="https://www.lavanguardia.com/politica/20181206/453397937523/pablo-casado-vox-trump-le-pen-elecciones-andaluzas.html?utm_campaign=botones_sociales_app" TargetMode="External"/><Relationship Id="rId794" Type="http://schemas.openxmlformats.org/officeDocument/2006/relationships/hyperlink" Target="http://pedrojgarciahidalgo.blogspot.com/" TargetMode="External"/><Relationship Id="rId1077" Type="http://schemas.openxmlformats.org/officeDocument/2006/relationships/hyperlink" Target="http://albertosanzblanco.wordpress.com/" TargetMode="External"/><Relationship Id="rId1200" Type="http://schemas.openxmlformats.org/officeDocument/2006/relationships/hyperlink" Target="http://bit.ly/EP_Venezuela" TargetMode="External"/><Relationship Id="rId1852" Type="http://schemas.openxmlformats.org/officeDocument/2006/relationships/hyperlink" Target="https://pbs.twimg.com/media/DtgSeSXWwAQk5ZX.jpg" TargetMode="External"/><Relationship Id="rId2030" Type="http://schemas.openxmlformats.org/officeDocument/2006/relationships/hyperlink" Target="https://twitter.com/j_mtnez_acebo/status/1069379585895215105" TargetMode="External"/><Relationship Id="rId2128" Type="http://schemas.openxmlformats.org/officeDocument/2006/relationships/hyperlink" Target="https://pbs.twimg.com/media/DtcjydNXgAEz7Nu.jpg" TargetMode="External"/><Relationship Id="rId2475" Type="http://schemas.openxmlformats.org/officeDocument/2006/relationships/hyperlink" Target="https://pbs.twimg.com/media/DtUvh-rWwAAw2YE.jpg" TargetMode="External"/><Relationship Id="rId2682" Type="http://schemas.openxmlformats.org/officeDocument/2006/relationships/hyperlink" Target="https://www.mundiario.com/seccion/galicia" TargetMode="External"/><Relationship Id="rId654" Type="http://schemas.openxmlformats.org/officeDocument/2006/relationships/hyperlink" Target="https://www.europapress.es/nacional/noticia-casado-quiere-pactar-ciudadanos-mesa-parlamento-andaluz-investidura-moreno-20181206161314.html" TargetMode="External"/><Relationship Id="rId861" Type="http://schemas.openxmlformats.org/officeDocument/2006/relationships/hyperlink" Target="http://www.rtve.es/noticias/mas-24/" TargetMode="External"/><Relationship Id="rId959" Type="http://schemas.openxmlformats.org/officeDocument/2006/relationships/hyperlink" Target="https://diarioliricoes.blogspot.com/2018/12/el-director-pablo-heras-casado-es.html?utm_source=dlvr.it&amp;utm_medium=facebook" TargetMode="External"/><Relationship Id="rId1284" Type="http://schemas.openxmlformats.org/officeDocument/2006/relationships/hyperlink" Target="http://www.esdiario.com/" TargetMode="External"/><Relationship Id="rId1491" Type="http://schemas.openxmlformats.org/officeDocument/2006/relationships/hyperlink" Target="http://www.multiforo.eu/Colaboraciones/2018/TratadoDeUtrechDos.htm" TargetMode="External"/><Relationship Id="rId1505" Type="http://schemas.openxmlformats.org/officeDocument/2006/relationships/hyperlink" Target="https://www.elconfidencial.com/elecciones-andalucia/2018-12-04/elecciones-andalucia-pablo-casado-pp-vox-ciudadanos_1685222/?utm_source=twitter&amp;utm_medium=social&amp;utm_campaign=BotoneraWeb" TargetMode="External"/><Relationship Id="rId1589" Type="http://schemas.openxmlformats.org/officeDocument/2006/relationships/hyperlink" Target="https://m.eldiario.es/rastreador/Klux-Klan-Vox-Reconquista-Andalucia_6_842775724.html" TargetMode="External"/><Relationship Id="rId1712" Type="http://schemas.openxmlformats.org/officeDocument/2006/relationships/hyperlink" Target="http://www.todalamusica.es/" TargetMode="External"/><Relationship Id="rId2335" Type="http://schemas.openxmlformats.org/officeDocument/2006/relationships/hyperlink" Target="http://skakeo.blogspot.com/" TargetMode="External"/><Relationship Id="rId2542" Type="http://schemas.openxmlformats.org/officeDocument/2006/relationships/hyperlink" Target="http://pensandoenmirincon.blogspot.es/" TargetMode="External"/><Relationship Id="rId293" Type="http://schemas.openxmlformats.org/officeDocument/2006/relationships/hyperlink" Target="http://pic.twitter.com/EGFJFIX7HW" TargetMode="External"/><Relationship Id="rId307" Type="http://schemas.openxmlformats.org/officeDocument/2006/relationships/hyperlink" Target="https://www.elmundo.es/espana/2018/12/07/5c099cb5fdddff55468b474e.html" TargetMode="External"/><Relationship Id="rId514" Type="http://schemas.openxmlformats.org/officeDocument/2006/relationships/hyperlink" Target="https://blogs.publico.es/strambotic/2018/12/frases-pablo-casado/" TargetMode="External"/><Relationship Id="rId721" Type="http://schemas.openxmlformats.org/officeDocument/2006/relationships/hyperlink" Target="https://pbs.twimg.com/media/DtvQMPgXgAEg8lE.jpg" TargetMode="External"/><Relationship Id="rId1144" Type="http://schemas.openxmlformats.org/officeDocument/2006/relationships/hyperlink" Target="https://laincreibleninaventresca.blogspot.com.es/" TargetMode="External"/><Relationship Id="rId1351" Type="http://schemas.openxmlformats.org/officeDocument/2006/relationships/hyperlink" Target="http://epmundo.com/2018/contundente-pablo-casado-defiende-la-inviolabilidad-del-rey/" TargetMode="External"/><Relationship Id="rId1449" Type="http://schemas.openxmlformats.org/officeDocument/2006/relationships/hyperlink" Target="https://pbs.twimg.com/media/DtlxnPdWwAIqEDO.jpg" TargetMode="External"/><Relationship Id="rId1796" Type="http://schemas.openxmlformats.org/officeDocument/2006/relationships/hyperlink" Target="http://www.allegramag.info/" TargetMode="External"/><Relationship Id="rId2181" Type="http://schemas.openxmlformats.org/officeDocument/2006/relationships/hyperlink" Target="http://lascosasdellazaro.wordpress.com/" TargetMode="External"/><Relationship Id="rId2402" Type="http://schemas.openxmlformats.org/officeDocument/2006/relationships/hyperlink" Target="https://www.facebook.com/BUZZKARMELA" TargetMode="External"/><Relationship Id="rId88" Type="http://schemas.openxmlformats.org/officeDocument/2006/relationships/hyperlink" Target="http://www.centrodemocratico.com/" TargetMode="External"/><Relationship Id="rId153" Type="http://schemas.openxmlformats.org/officeDocument/2006/relationships/hyperlink" Target="https://www.mundiario.com/articulo/politica/pablo-casado-apunta-pedro-sanchez-situacion-cataluna/20181207212354140100.html" TargetMode="External"/><Relationship Id="rId360" Type="http://schemas.openxmlformats.org/officeDocument/2006/relationships/hyperlink" Target="https://www.elplural.com/politica/pablo-casado-albert-rivera-santiago-abascal-vox-pacto-andalucia_207684102" TargetMode="External"/><Relationship Id="rId598" Type="http://schemas.openxmlformats.org/officeDocument/2006/relationships/hyperlink" Target="https://pbs.twimg.com/media/Dtv1VIBWoAA6Qtp.jpg" TargetMode="External"/><Relationship Id="rId819" Type="http://schemas.openxmlformats.org/officeDocument/2006/relationships/hyperlink" Target="http://www.expansion.com/" TargetMode="External"/><Relationship Id="rId1004" Type="http://schemas.openxmlformats.org/officeDocument/2006/relationships/hyperlink" Target="https://www.elplural.com/politica/cis-valoracion-lideres-pablo-iglesias-pablo-casado-pedro-sanchez_207613102" TargetMode="External"/><Relationship Id="rId1211" Type="http://schemas.openxmlformats.org/officeDocument/2006/relationships/hyperlink" Target="https://www.eldiario.es/norte/navarra/Tribunal-Superior-Justicia-Navarra-unanimidad_0_843065749.html" TargetMode="External"/><Relationship Id="rId1656" Type="http://schemas.openxmlformats.org/officeDocument/2006/relationships/hyperlink" Target="https://pbs.twimg.com/media/Dtjx_ChW0AAS3VS.jpg" TargetMode="External"/><Relationship Id="rId1863" Type="http://schemas.openxmlformats.org/officeDocument/2006/relationships/hyperlink" Target="https://pbs.twimg.com/media/DtgOsM8W0AA7_mD.jpg" TargetMode="External"/><Relationship Id="rId2041" Type="http://schemas.openxmlformats.org/officeDocument/2006/relationships/hyperlink" Target="http://prnoticias.com/comunicacion/comunicacion-politica/20170924-los-bandazos-de-casado-de-diferenciar-al-pp-de-vox-a-abrirse-a-pactar" TargetMode="External"/><Relationship Id="rId2279" Type="http://schemas.openxmlformats.org/officeDocument/2006/relationships/hyperlink" Target="http://petersagan.com/" TargetMode="External"/><Relationship Id="rId2486" Type="http://schemas.openxmlformats.org/officeDocument/2006/relationships/hyperlink" Target="http://www.antonioburgos.com/abc/2018/12/re120218.html@AbeInfanzon" TargetMode="External"/><Relationship Id="rId2693" Type="http://schemas.openxmlformats.org/officeDocument/2006/relationships/hyperlink" Target="http://cadenaser.com/ser/2018/11/30/politica/1543613809_281010.html?ssm=tw" TargetMode="External"/><Relationship Id="rId2707" Type="http://schemas.openxmlformats.org/officeDocument/2006/relationships/hyperlink" Target="https://www.publico.es/tremending/2018/11/30/hoy-en-parecidos-razonables-pablo-casado-y-albert-rivera-se-visten-exactamente-igual-el-mismo-dia/" TargetMode="External"/><Relationship Id="rId220" Type="http://schemas.openxmlformats.org/officeDocument/2006/relationships/hyperlink" Target="https://www.eldiario.es/_324580bb" TargetMode="External"/><Relationship Id="rId458" Type="http://schemas.openxmlformats.org/officeDocument/2006/relationships/hyperlink" Target="http://www.camisetas-reivindicativas.es/" TargetMode="External"/><Relationship Id="rId665" Type="http://schemas.openxmlformats.org/officeDocument/2006/relationships/hyperlink" Target="https://ift.tt/2rma9em" TargetMode="External"/><Relationship Id="rId872" Type="http://schemas.openxmlformats.org/officeDocument/2006/relationships/hyperlink" Target="http://www.pp.es/" TargetMode="External"/><Relationship Id="rId1088" Type="http://schemas.openxmlformats.org/officeDocument/2006/relationships/hyperlink" Target="http://www.amaliorodriguez.com/" TargetMode="External"/><Relationship Id="rId1295" Type="http://schemas.openxmlformats.org/officeDocument/2006/relationships/hyperlink" Target="http://bit.ly/EP_Venezuela" TargetMode="External"/><Relationship Id="rId1309" Type="http://schemas.openxmlformats.org/officeDocument/2006/relationships/hyperlink" Target="http://epmundo.com/" TargetMode="External"/><Relationship Id="rId1516" Type="http://schemas.openxmlformats.org/officeDocument/2006/relationships/hyperlink" Target="https://bit.ly/2PP55dj" TargetMode="External"/><Relationship Id="rId1723" Type="http://schemas.openxmlformats.org/officeDocument/2006/relationships/hyperlink" Target="http://instagram.com/maycu" TargetMode="External"/><Relationship Id="rId1930" Type="http://schemas.openxmlformats.org/officeDocument/2006/relationships/hyperlink" Target="http://www.servimedia.es/" TargetMode="External"/><Relationship Id="rId2139" Type="http://schemas.openxmlformats.org/officeDocument/2006/relationships/hyperlink" Target="https://www.lavanguardia.com/politica/20181202/453290949545/elecciones-andaluzas-pablo-casado-pedro-sanchez-elecciones.html?utm_source=twitter_lv&amp;utm_medium=social" TargetMode="External"/><Relationship Id="rId2346" Type="http://schemas.openxmlformats.org/officeDocument/2006/relationships/hyperlink" Target="https://buff.ly/2AH2c7R" TargetMode="External"/><Relationship Id="rId2553" Type="http://schemas.openxmlformats.org/officeDocument/2006/relationships/hyperlink" Target="https://www.elmundo.es/espana/2018/12/02/5c02dc68fc6c83e67a8b45a2.html" TargetMode="External"/><Relationship Id="rId2760" Type="http://schemas.openxmlformats.org/officeDocument/2006/relationships/hyperlink" Target="https://www.europapress.es/illes-balears/noticia-biel-company-toni-fuster-marga-prohens-asisten-lunes-comite-ejecutivo-nacional-pp-madrid-20181201170239.html" TargetMode="External"/><Relationship Id="rId15" Type="http://schemas.openxmlformats.org/officeDocument/2006/relationships/hyperlink" Target="http://theobjective.com/" TargetMode="External"/><Relationship Id="rId318" Type="http://schemas.openxmlformats.org/officeDocument/2006/relationships/hyperlink" Target="http://www.hoyporhoy.es/" TargetMode="External"/><Relationship Id="rId525" Type="http://schemas.openxmlformats.org/officeDocument/2006/relationships/hyperlink" Target="https://www.eldiario.es/_324581a7" TargetMode="External"/><Relationship Id="rId732" Type="http://schemas.openxmlformats.org/officeDocument/2006/relationships/hyperlink" Target="https://pbs.twimg.com/media/DtvK3x1WkAA82jG.jpg" TargetMode="External"/><Relationship Id="rId1155" Type="http://schemas.openxmlformats.org/officeDocument/2006/relationships/hyperlink" Target="https://pbs.twimg.com/media/Dtpb7NnVAAAhFiL.jpg" TargetMode="External"/><Relationship Id="rId1362" Type="http://schemas.openxmlformats.org/officeDocument/2006/relationships/hyperlink" Target="https://www.mundiario.com/seccion/galicia" TargetMode="External"/><Relationship Id="rId2192" Type="http://schemas.openxmlformats.org/officeDocument/2006/relationships/hyperlink" Target="https://twitter.com/Dumacbcn/status/1054707692638486528?s=19" TargetMode="External"/><Relationship Id="rId2206" Type="http://schemas.openxmlformats.org/officeDocument/2006/relationships/hyperlink" Target="http://pic.twitter.com/g5SRsjN5Od" TargetMode="External"/><Relationship Id="rId2413" Type="http://schemas.openxmlformats.org/officeDocument/2006/relationships/hyperlink" Target="http://trendinalia.com/twitter-trending-topics/spain/" TargetMode="External"/><Relationship Id="rId2620" Type="http://schemas.openxmlformats.org/officeDocument/2006/relationships/hyperlink" Target="https://www.elmundo.es/espana/2018/12/02/5c02dc68fc6c83e67a8b45a2.html" TargetMode="External"/><Relationship Id="rId99" Type="http://schemas.openxmlformats.org/officeDocument/2006/relationships/hyperlink" Target="http://www.theportadanews.com/2018/08/07/casado-master/" TargetMode="External"/><Relationship Id="rId164" Type="http://schemas.openxmlformats.org/officeDocument/2006/relationships/hyperlink" Target="https://pbs.twimg.com/media/DtujRuCU0AAdl3J.jpg" TargetMode="External"/><Relationship Id="rId371" Type="http://schemas.openxmlformats.org/officeDocument/2006/relationships/hyperlink" Target="https://www.madridesnoticia.es/2018/12/casado-perfil-nombre-candidatos-madrid/" TargetMode="External"/><Relationship Id="rId1015" Type="http://schemas.openxmlformats.org/officeDocument/2006/relationships/hyperlink" Target="https://pbs.twimg.com/media/DtrZo-9WkAE-RAo.jpg" TargetMode="External"/><Relationship Id="rId1222" Type="http://schemas.openxmlformats.org/officeDocument/2006/relationships/hyperlink" Target="https://elpais.com/politica/2018/12/04/actualidad/1543928771_340736.html" TargetMode="External"/><Relationship Id="rId1667" Type="http://schemas.openxmlformats.org/officeDocument/2006/relationships/hyperlink" Target="https://www.elmundo.es/espana/2018/12/04/5c05a39afc6c83c0748b4763.html" TargetMode="External"/><Relationship Id="rId1874" Type="http://schemas.openxmlformats.org/officeDocument/2006/relationships/hyperlink" Target="https://www.instagram.com/chamonator/" TargetMode="External"/><Relationship Id="rId2052" Type="http://schemas.openxmlformats.org/officeDocument/2006/relationships/hyperlink" Target="http://pic.twitter.com/QY5c2SZGef" TargetMode="External"/><Relationship Id="rId2497" Type="http://schemas.openxmlformats.org/officeDocument/2006/relationships/hyperlink" Target="https://www.huffingtonpost.es/2018/11/27/una-mujer-rumana-contesta-a-pablo-casado-con-este-devastador-tuit_a_23602074/" TargetMode="External"/><Relationship Id="rId2718" Type="http://schemas.openxmlformats.org/officeDocument/2006/relationships/hyperlink" Target="https://www.publico.es/tremending/2018/11/29/elecciones-andalucia-2018-el-video-de-pablo-casado-que-ejemplifica-a-la-perfeccion-que-es-el-populismo-punitivo/" TargetMode="External"/><Relationship Id="rId469" Type="http://schemas.openxmlformats.org/officeDocument/2006/relationships/hyperlink" Target="https://www.hispanidad.com/confidencial/el-problema-de-pablo-casado-si-puedes-votar-a-ciudadanos-o-a-vox-por-que-vas-a-votar-al-pp_12006027_102.html" TargetMode="External"/><Relationship Id="rId676" Type="http://schemas.openxmlformats.org/officeDocument/2006/relationships/hyperlink" Target="http://www.veoinfo.com/pablo-casado-aspira-a-gobernar-espana-con-ciudadanos-en-seis-meses-o-un-ano-y-dice-que-vox-es-mas-trump-que-le-pen/" TargetMode="External"/><Relationship Id="rId883" Type="http://schemas.openxmlformats.org/officeDocument/2006/relationships/hyperlink" Target="http://g-fer.tumblr.com/" TargetMode="External"/><Relationship Id="rId1099" Type="http://schemas.openxmlformats.org/officeDocument/2006/relationships/hyperlink" Target="https://pbs.twimg.com/media/DtqBuN1X4AA8Nl5.jpg" TargetMode="External"/><Relationship Id="rId1527" Type="http://schemas.openxmlformats.org/officeDocument/2006/relationships/hyperlink" Target="https://m.filmaffinity.com/es/user_profile.php?id-user=8136735" TargetMode="External"/><Relationship Id="rId1734" Type="http://schemas.openxmlformats.org/officeDocument/2006/relationships/hyperlink" Target="http://ww.cope.es/2jv681" TargetMode="External"/><Relationship Id="rId1941" Type="http://schemas.openxmlformats.org/officeDocument/2006/relationships/hyperlink" Target="https://pbs.twimg.com/media/Dtfne4LXQAA5789.jpg" TargetMode="External"/><Relationship Id="rId2357" Type="http://schemas.openxmlformats.org/officeDocument/2006/relationships/hyperlink" Target="http://instagram.com/antoniogm_09/" TargetMode="External"/><Relationship Id="rId2564" Type="http://schemas.openxmlformats.org/officeDocument/2006/relationships/hyperlink" Target="https://pbs.twimg.com/media/DtZ3evVXcAAYURW.jpg" TargetMode="External"/><Relationship Id="rId26" Type="http://schemas.openxmlformats.org/officeDocument/2006/relationships/hyperlink" Target="http://mediterraneo.diario16.com/la-ignorancia-pablo-casado-no-sabe-una-republica/" TargetMode="External"/><Relationship Id="rId231" Type="http://schemas.openxmlformats.org/officeDocument/2006/relationships/hyperlink" Target="https://www.elplural.com/politica/caja-b-partido-popular-congreso-diputados-comision-investigacion-villarejo-pablo-casado_207693102" TargetMode="External"/><Relationship Id="rId329" Type="http://schemas.openxmlformats.org/officeDocument/2006/relationships/hyperlink" Target="https://www.larazon.es/espana/defender-la-constitucion-por-pablo-casado-FP20854122" TargetMode="External"/><Relationship Id="rId536" Type="http://schemas.openxmlformats.org/officeDocument/2006/relationships/hyperlink" Target="http://www.ppmadrid.es/" TargetMode="External"/><Relationship Id="rId1166" Type="http://schemas.openxmlformats.org/officeDocument/2006/relationships/hyperlink" Target="http://curiouscat.me/George_Winters" TargetMode="External"/><Relationship Id="rId1373" Type="http://schemas.openxmlformats.org/officeDocument/2006/relationships/hyperlink" Target="http://es.favstar.fm/users/norcatalan" TargetMode="External"/><Relationship Id="rId2217" Type="http://schemas.openxmlformats.org/officeDocument/2006/relationships/hyperlink" Target="https://www.linkedin.com/in/eduardo-villena/" TargetMode="External"/><Relationship Id="rId2771" Type="http://schemas.openxmlformats.org/officeDocument/2006/relationships/hyperlink" Target="http://pic.twitter.com/sM3rAdy9Fp" TargetMode="External"/><Relationship Id="rId175" Type="http://schemas.openxmlformats.org/officeDocument/2006/relationships/hyperlink" Target="https://www.lasilenciosacat.org/" TargetMode="External"/><Relationship Id="rId743" Type="http://schemas.openxmlformats.org/officeDocument/2006/relationships/hyperlink" Target="http://www.telecinco.es/informativos" TargetMode="External"/><Relationship Id="rId950" Type="http://schemas.openxmlformats.org/officeDocument/2006/relationships/hyperlink" Target="http://dlvr.it/QsxgKx" TargetMode="External"/><Relationship Id="rId1026" Type="http://schemas.openxmlformats.org/officeDocument/2006/relationships/hyperlink" Target="http://www.efe.com/" TargetMode="External"/><Relationship Id="rId1580" Type="http://schemas.openxmlformats.org/officeDocument/2006/relationships/hyperlink" Target="https://www.cuartopoder.es/ideas/2018/08/05/pablo-casado-impuesto-sucesiones-ideologia-millonario/" TargetMode="External"/><Relationship Id="rId1678" Type="http://schemas.openxmlformats.org/officeDocument/2006/relationships/hyperlink" Target="http://mundiario.com/" TargetMode="External"/><Relationship Id="rId1801" Type="http://schemas.openxmlformats.org/officeDocument/2006/relationships/hyperlink" Target="http://www.multiforo.eu/" TargetMode="External"/><Relationship Id="rId1885" Type="http://schemas.openxmlformats.org/officeDocument/2006/relationships/hyperlink" Target="https://pbs.twimg.com/media/DtgBafcXgAA-OXF.jpg" TargetMode="External"/><Relationship Id="rId2424" Type="http://schemas.openxmlformats.org/officeDocument/2006/relationships/hyperlink" Target="http://www.lextres.com/" TargetMode="External"/><Relationship Id="rId2631" Type="http://schemas.openxmlformats.org/officeDocument/2006/relationships/hyperlink" Target="https://pbs.twimg.com/media/DtYLKRoUUAAdpFm.jpg" TargetMode="External"/><Relationship Id="rId2729" Type="http://schemas.openxmlformats.org/officeDocument/2006/relationships/hyperlink" Target="http://cadenaser.com/ser/2018/11/30/politica/1543613809_281010.html?ssm=tw" TargetMode="External"/><Relationship Id="rId382" Type="http://schemas.openxmlformats.org/officeDocument/2006/relationships/hyperlink" Target="https://www.lavanguardia.com/politica/20181206/453390318753/debate-pp-estrategia-vox-elecciones-andaluzas-pablo-casado.html" TargetMode="External"/><Relationship Id="rId603" Type="http://schemas.openxmlformats.org/officeDocument/2006/relationships/hyperlink" Target="https://pbs.twimg.com/media/DtvyY4dXgAIwlma.jpg" TargetMode="External"/><Relationship Id="rId687" Type="http://schemas.openxmlformats.org/officeDocument/2006/relationships/hyperlink" Target="http://j.mp/2RE1MGy" TargetMode="External"/><Relationship Id="rId810" Type="http://schemas.openxmlformats.org/officeDocument/2006/relationships/hyperlink" Target="http://bit.ly/2UjhCbr" TargetMode="External"/><Relationship Id="rId908" Type="http://schemas.openxmlformats.org/officeDocument/2006/relationships/hyperlink" Target="http://teroland.blogspot.com/" TargetMode="External"/><Relationship Id="rId1233" Type="http://schemas.openxmlformats.org/officeDocument/2006/relationships/hyperlink" Target="https://es.linkedin.com/in/puxapali" TargetMode="External"/><Relationship Id="rId1440" Type="http://schemas.openxmlformats.org/officeDocument/2006/relationships/hyperlink" Target="http://elregresodejuandemairena.blogspot.com.es/" TargetMode="External"/><Relationship Id="rId1538" Type="http://schemas.openxmlformats.org/officeDocument/2006/relationships/hyperlink" Target="https://www.elconfidencial.com/elecciones-andalucia/2018-12-04/elecciones-andalucia-pablo-casado-pp-vox-ciudadanos_1685222/?utm_source=twitter&amp;utm_medium=social&amp;utm_campaign=ECDiarioManual" TargetMode="External"/><Relationship Id="rId2063" Type="http://schemas.openxmlformats.org/officeDocument/2006/relationships/hyperlink" Target="https://pbs.twimg.com/media/DteLM6pXcAUrV5t.jpg" TargetMode="External"/><Relationship Id="rId2270" Type="http://schemas.openxmlformats.org/officeDocument/2006/relationships/hyperlink" Target="http://about.me/JosepSalme" TargetMode="External"/><Relationship Id="rId2368" Type="http://schemas.openxmlformats.org/officeDocument/2006/relationships/hyperlink" Target="https://twitter.com/pablocasado_/status/503106527314849793" TargetMode="External"/><Relationship Id="rId242" Type="http://schemas.openxmlformats.org/officeDocument/2006/relationships/hyperlink" Target="http://www.multiforo.eu/" TargetMode="External"/><Relationship Id="rId894" Type="http://schemas.openxmlformats.org/officeDocument/2006/relationships/hyperlink" Target="https://pbs.twimg.com/media/DtuQYe6XgAE2NQa.jpg" TargetMode="External"/><Relationship Id="rId1177" Type="http://schemas.openxmlformats.org/officeDocument/2006/relationships/hyperlink" Target="https://pbs.twimg.com/media/DtpK9XPX4AEUFJU.jpg" TargetMode="External"/><Relationship Id="rId1300" Type="http://schemas.openxmlformats.org/officeDocument/2006/relationships/hyperlink" Target="https://www.elmundo.es/espana/2018/12/05/5c06eb2afc6c839b5f8b4622.html" TargetMode="External"/><Relationship Id="rId1745" Type="http://schemas.openxmlformats.org/officeDocument/2006/relationships/hyperlink" Target="http://cadenaser.com/ser/2018/11/30/politica/1543613809_281010.html?ssm=fb" TargetMode="External"/><Relationship Id="rId1952" Type="http://schemas.openxmlformats.org/officeDocument/2006/relationships/hyperlink" Target="http://www.servimedia.es/" TargetMode="External"/><Relationship Id="rId2130" Type="http://schemas.openxmlformats.org/officeDocument/2006/relationships/hyperlink" Target="http://youtu.be/cMOFYQVYGDU?a" TargetMode="External"/><Relationship Id="rId2575" Type="http://schemas.openxmlformats.org/officeDocument/2006/relationships/hyperlink" Target="http://www.laranoia.com/" TargetMode="External"/><Relationship Id="rId2782" Type="http://schemas.openxmlformats.org/officeDocument/2006/relationships/hyperlink" Target="https://twitter.com/alFranceschi/status/1068739318896885760" TargetMode="External"/><Relationship Id="rId37" Type="http://schemas.openxmlformats.org/officeDocument/2006/relationships/hyperlink" Target="https://pbs.twimg.com/media/Dt5vg4yVYAAWaf9.jpg" TargetMode="External"/><Relationship Id="rId102" Type="http://schemas.openxmlformats.org/officeDocument/2006/relationships/hyperlink" Target="https://www.facebook.com/JavierSanchezSernaEducacion" TargetMode="External"/><Relationship Id="rId547" Type="http://schemas.openxmlformats.org/officeDocument/2006/relationships/hyperlink" Target="https://pbs.twimg.com/media/DtwGLLPWoAAn3kc.jpg" TargetMode="External"/><Relationship Id="rId754" Type="http://schemas.openxmlformats.org/officeDocument/2006/relationships/hyperlink" Target="https://pbs.twimg.com/media/Dtu7YOCXQAAGVgC.jpg" TargetMode="External"/><Relationship Id="rId961" Type="http://schemas.openxmlformats.org/officeDocument/2006/relationships/hyperlink" Target="http://dlvr.it/QsxQyq" TargetMode="External"/><Relationship Id="rId1384" Type="http://schemas.openxmlformats.org/officeDocument/2006/relationships/hyperlink" Target="http://copiajuridica.es/2018/12/04/los-politicos-corrosivos-que-a-pablo-casado-aun-le-quedan-por-sacar-del-pp" TargetMode="External"/><Relationship Id="rId1591" Type="http://schemas.openxmlformats.org/officeDocument/2006/relationships/hyperlink" Target="http://www.pressdigital.es/" TargetMode="External"/><Relationship Id="rId1605" Type="http://schemas.openxmlformats.org/officeDocument/2006/relationships/hyperlink" Target="https://twitter.com/Carmen_Lomana/status/1069354772040437760" TargetMode="External"/><Relationship Id="rId1689" Type="http://schemas.openxmlformats.org/officeDocument/2006/relationships/hyperlink" Target="http://youtu.be/EsMSF3vX-Do?a" TargetMode="External"/><Relationship Id="rId1812" Type="http://schemas.openxmlformats.org/officeDocument/2006/relationships/hyperlink" Target="https://pbs.twimg.com/media/DtgkpifU8AAnnBF.jpg" TargetMode="External"/><Relationship Id="rId2228" Type="http://schemas.openxmlformats.org/officeDocument/2006/relationships/hyperlink" Target="http://www.publico.es/" TargetMode="External"/><Relationship Id="rId2435" Type="http://schemas.openxmlformats.org/officeDocument/2006/relationships/hyperlink" Target="https://www.eldiario.es/escolar/Pablo-Casado-Poder-Judicial-Cosido_6_838576166.html" TargetMode="External"/><Relationship Id="rId2642" Type="http://schemas.openxmlformats.org/officeDocument/2006/relationships/hyperlink" Target="http://bit.ly/2zDjljd" TargetMode="External"/><Relationship Id="rId90" Type="http://schemas.openxmlformats.org/officeDocument/2006/relationships/hyperlink" Target="http://www.scrats.es/" TargetMode="External"/><Relationship Id="rId186" Type="http://schemas.openxmlformats.org/officeDocument/2006/relationships/hyperlink" Target="https://toyyyestudiando.blogspot.com/2018/12/sanchez-complice-de-la-kale-borroca.html?spref=fb" TargetMode="External"/><Relationship Id="rId393" Type="http://schemas.openxmlformats.org/officeDocument/2006/relationships/hyperlink" Target="http://entretenimientobit.com/interes-general/pablo-casado-comienza-su-viraje-liberal-con-lasquetty-como-jefe-de-gabinete/?utm_campaign=twitter&amp;utm_medium=twitter&amp;utm_source=twitter" TargetMode="External"/><Relationship Id="rId407" Type="http://schemas.openxmlformats.org/officeDocument/2006/relationships/hyperlink" Target="https://m.eldiario.es/_324580bb" TargetMode="External"/><Relationship Id="rId614" Type="http://schemas.openxmlformats.org/officeDocument/2006/relationships/hyperlink" Target="http://www.diariodeteruel.es/noticia.asp?notid=1010763&amp;secid=1" TargetMode="External"/><Relationship Id="rId821" Type="http://schemas.openxmlformats.org/officeDocument/2006/relationships/hyperlink" Target="https://www.eldiario.es/politica/Casado-Javier-Lasquetty-Aguirre-Gabinete_0_843415739.html" TargetMode="External"/><Relationship Id="rId1037" Type="http://schemas.openxmlformats.org/officeDocument/2006/relationships/hyperlink" Target="https://www.eldiario.es/madrid/Garrido-Almeida-candidaturas-Pablo-Casado_0_842716485.html" TargetMode="External"/><Relationship Id="rId1244" Type="http://schemas.openxmlformats.org/officeDocument/2006/relationships/hyperlink" Target="https://elpais.com/elpais/2018/12/04/opinion/1543936311_761813.html" TargetMode="External"/><Relationship Id="rId1451" Type="http://schemas.openxmlformats.org/officeDocument/2006/relationships/hyperlink" Target="https://pbs.twimg.com/media/Dtlxm07XcAADBSn.jpg" TargetMode="External"/><Relationship Id="rId1896" Type="http://schemas.openxmlformats.org/officeDocument/2006/relationships/hyperlink" Target="https://okdiario.com/general/2018/12/03/casado-sanchez-debe-convocar-elecciones-inmediato-3421940" TargetMode="External"/><Relationship Id="rId2074" Type="http://schemas.openxmlformats.org/officeDocument/2006/relationships/hyperlink" Target="https://pbs.twimg.com/media/DtdVTzlXgAE53sW.png" TargetMode="External"/><Relationship Id="rId2281" Type="http://schemas.openxmlformats.org/officeDocument/2006/relationships/hyperlink" Target="https://pbs.twimg.com/media/DtcfpZ6XgAAFtMZ.jpg" TargetMode="External"/><Relationship Id="rId2502" Type="http://schemas.openxmlformats.org/officeDocument/2006/relationships/hyperlink" Target="http://www.geo.ya.com/xose36/" TargetMode="External"/><Relationship Id="rId253" Type="http://schemas.openxmlformats.org/officeDocument/2006/relationships/hyperlink" Target="https://contrainformacion.es/tratado-de-utrecht-dos/" TargetMode="External"/><Relationship Id="rId460" Type="http://schemas.openxmlformats.org/officeDocument/2006/relationships/hyperlink" Target="https://www.eldiario.es/_324581a7" TargetMode="External"/><Relationship Id="rId698" Type="http://schemas.openxmlformats.org/officeDocument/2006/relationships/hyperlink" Target="http://bit.ly/2PjZ0od" TargetMode="External"/><Relationship Id="rId919" Type="http://schemas.openxmlformats.org/officeDocument/2006/relationships/hyperlink" Target="http://pic.twitter.com/2zAe5kVZjf" TargetMode="External"/><Relationship Id="rId1090" Type="http://schemas.openxmlformats.org/officeDocument/2006/relationships/hyperlink" Target="https://www.elmundo.es/espana/2018/12/05/5c06eb2afc6c839b5f8b4622.html" TargetMode="External"/><Relationship Id="rId1104" Type="http://schemas.openxmlformats.org/officeDocument/2006/relationships/hyperlink" Target="https://pbs.twimg.com/media/Dtp8PhTW0AEmaD7.jpg" TargetMode="External"/><Relationship Id="rId1311" Type="http://schemas.openxmlformats.org/officeDocument/2006/relationships/hyperlink" Target="https://pbs.twimg.com/media/DtnV1LZWoAE1FO1.jpg" TargetMode="External"/><Relationship Id="rId1549" Type="http://schemas.openxmlformats.org/officeDocument/2006/relationships/hyperlink" Target="https://www.publico.es/politica/pactos-andalucia-casado-no-descarta-ceder-consejerias-vox-pp-gobierne-andalucia.html" TargetMode="External"/><Relationship Id="rId1756" Type="http://schemas.openxmlformats.org/officeDocument/2006/relationships/hyperlink" Target="https://www.linkedin.com/in/jorge-moreno-aranda-0627ab12b" TargetMode="External"/><Relationship Id="rId1963" Type="http://schemas.openxmlformats.org/officeDocument/2006/relationships/hyperlink" Target="https://pbs.twimg.com/media/Dtfd3d3WsAEhCKC.jpg" TargetMode="External"/><Relationship Id="rId2141" Type="http://schemas.openxmlformats.org/officeDocument/2006/relationships/hyperlink" Target="https://twitter.com/Viirita82/status/1069365787994058753" TargetMode="External"/><Relationship Id="rId2379" Type="http://schemas.openxmlformats.org/officeDocument/2006/relationships/hyperlink" Target="https://about.me/lopezparrajorge" TargetMode="External"/><Relationship Id="rId2586" Type="http://schemas.openxmlformats.org/officeDocument/2006/relationships/hyperlink" Target="https://www.facebook.com/JMPCAN" TargetMode="External"/><Relationship Id="rId2793" Type="http://schemas.openxmlformats.org/officeDocument/2006/relationships/hyperlink" Target="http://paper.li/lobo_solito/1343408781" TargetMode="External"/><Relationship Id="rId48" Type="http://schemas.openxmlformats.org/officeDocument/2006/relationships/hyperlink" Target="https://pbs.twimg.com/media/Dt5osxJXgAEUqzw.jpg" TargetMode="External"/><Relationship Id="rId113" Type="http://schemas.openxmlformats.org/officeDocument/2006/relationships/hyperlink" Target="http://mediterraneo.diario16.com/la-ignorancia-pablo-casado-no-sabe-una-republica/" TargetMode="External"/><Relationship Id="rId320" Type="http://schemas.openxmlformats.org/officeDocument/2006/relationships/hyperlink" Target="https://pbs.twimg.com/media/DtvyoDkW0AAzkQp.jpg" TargetMode="External"/><Relationship Id="rId558" Type="http://schemas.openxmlformats.org/officeDocument/2006/relationships/hyperlink" Target="https://www.eldiario.es/_324580bb" TargetMode="External"/><Relationship Id="rId765" Type="http://schemas.openxmlformats.org/officeDocument/2006/relationships/hyperlink" Target="http://www.antonionavia.com/" TargetMode="External"/><Relationship Id="rId972" Type="http://schemas.openxmlformats.org/officeDocument/2006/relationships/hyperlink" Target="http://albaciudad.org/" TargetMode="External"/><Relationship Id="rId1188" Type="http://schemas.openxmlformats.org/officeDocument/2006/relationships/hyperlink" Target="http://www.elmundo.es/espana/2018/12/05/5c06eb2afc6c839b5f8b4622.html" TargetMode="External"/><Relationship Id="rId1395" Type="http://schemas.openxmlformats.org/officeDocument/2006/relationships/hyperlink" Target="http://palencia.cnt.es/2018/10/06/memoria-historica-la-union-de-hermanos-proletarios-uhp-la-revoluci" TargetMode="External"/><Relationship Id="rId1409" Type="http://schemas.openxmlformats.org/officeDocument/2006/relationships/hyperlink" Target="https://pbs.twimg.com/media/DtmFCrbW0AE2aFP.jpg" TargetMode="External"/><Relationship Id="rId1616" Type="http://schemas.openxmlformats.org/officeDocument/2006/relationships/hyperlink" Target="https://www.instagram.com/raffa_avila" TargetMode="External"/><Relationship Id="rId1823" Type="http://schemas.openxmlformats.org/officeDocument/2006/relationships/hyperlink" Target="https://www.elmundo.es/espana/2018/12/03/5c05442321efa0cc3d8b46bc.html" TargetMode="External"/><Relationship Id="rId2001" Type="http://schemas.openxmlformats.org/officeDocument/2006/relationships/hyperlink" Target="https://twitter.com/rouco64/status/1069315563745435648" TargetMode="External"/><Relationship Id="rId2239" Type="http://schemas.openxmlformats.org/officeDocument/2006/relationships/hyperlink" Target="http://swanqueer.tumblr.com/" TargetMode="External"/><Relationship Id="rId2446" Type="http://schemas.openxmlformats.org/officeDocument/2006/relationships/hyperlink" Target="https://pbs.twimg.com/media/DtbRvRrWsAAOARs.jpg" TargetMode="External"/><Relationship Id="rId2653" Type="http://schemas.openxmlformats.org/officeDocument/2006/relationships/hyperlink" Target="http://bit.ly/2DYK7p0" TargetMode="External"/><Relationship Id="rId197" Type="http://schemas.openxmlformats.org/officeDocument/2006/relationships/hyperlink" Target="http://www.diarioalcazar.com/2018/12/pablo-casado-exige-aplicar-el-155.html" TargetMode="External"/><Relationship Id="rId418" Type="http://schemas.openxmlformats.org/officeDocument/2006/relationships/hyperlink" Target="http://lrzn.es/mbk7h2" TargetMode="External"/><Relationship Id="rId625" Type="http://schemas.openxmlformats.org/officeDocument/2006/relationships/hyperlink" Target="http://www.canarias7.es/" TargetMode="External"/><Relationship Id="rId832" Type="http://schemas.openxmlformats.org/officeDocument/2006/relationships/hyperlink" Target="https://www.eldiario.es/politica/Casado-Javier-Lasquetty-Aguirre-Gabinete_0_843415739.html" TargetMode="External"/><Relationship Id="rId1048" Type="http://schemas.openxmlformats.org/officeDocument/2006/relationships/hyperlink" Target="http://blogjjredondela.blogspot.com/" TargetMode="External"/><Relationship Id="rId1255" Type="http://schemas.openxmlformats.org/officeDocument/2006/relationships/hyperlink" Target="https://www.elmundo.es/espana/2018/12/05/5c06eb2afc6c839b5f8b4622.html" TargetMode="External"/><Relationship Id="rId1462" Type="http://schemas.openxmlformats.org/officeDocument/2006/relationships/hyperlink" Target="https://pbs.twimg.com/media/DtlvnufWkAUJoSP.jpg" TargetMode="External"/><Relationship Id="rId2085" Type="http://schemas.openxmlformats.org/officeDocument/2006/relationships/hyperlink" Target="https://www.elmundo.es/andalucia/2018/12/02/5c042eda21efa030288b45c6.html" TargetMode="External"/><Relationship Id="rId2292" Type="http://schemas.openxmlformats.org/officeDocument/2006/relationships/hyperlink" Target="http://www.bubok.es/libros/15416/Poemas-de-amor-y-llanto" TargetMode="External"/><Relationship Id="rId2306" Type="http://schemas.openxmlformats.org/officeDocument/2006/relationships/hyperlink" Target="https://laciudadenllamas.wordpress.com/" TargetMode="External"/><Relationship Id="rId2513" Type="http://schemas.openxmlformats.org/officeDocument/2006/relationships/hyperlink" Target="https://www.facebook.com/128772720529331/posts/2348168565256391/" TargetMode="External"/><Relationship Id="rId264" Type="http://schemas.openxmlformats.org/officeDocument/2006/relationships/hyperlink" Target="http://mediterraneo.diario16.com/la-ignorancia-pablo-casado-no-sabe-una-republica/" TargetMode="External"/><Relationship Id="rId471" Type="http://schemas.openxmlformats.org/officeDocument/2006/relationships/hyperlink" Target="https://www.libertaddigital.com/espana/politica/2018-12-06/javier-fernandez-lasquetty-nuevo-jefe-de-gabinete-de-casado-1276629457/" TargetMode="External"/><Relationship Id="rId1115" Type="http://schemas.openxmlformats.org/officeDocument/2006/relationships/hyperlink" Target="http://page.is/larevuelo53" TargetMode="External"/><Relationship Id="rId1322" Type="http://schemas.openxmlformats.org/officeDocument/2006/relationships/hyperlink" Target="https://pbs.twimg.com/media/DtnIZx9V4AEGrZK.jpg" TargetMode="External"/><Relationship Id="rId1767" Type="http://schemas.openxmlformats.org/officeDocument/2006/relationships/hyperlink" Target="https://www.libremercado.com/2018-12-03/asi-es-la-bajada-de-impuestos-que-plantea-el-pp-en-andalucia-1276629241/" TargetMode="External"/><Relationship Id="rId1974" Type="http://schemas.openxmlformats.org/officeDocument/2006/relationships/hyperlink" Target="https://www.youtube.com/user/nanor28/featured" TargetMode="External"/><Relationship Id="rId2152" Type="http://schemas.openxmlformats.org/officeDocument/2006/relationships/hyperlink" Target="https://pbs.twimg.com/media/Dtcl5z3VYAANS74.jpg" TargetMode="External"/><Relationship Id="rId2597" Type="http://schemas.openxmlformats.org/officeDocument/2006/relationships/hyperlink" Target="https://www.publico.es/tremending/2018/11/30/hoy-en-parecidos-razonables-pablo-casado-y-albert-rivera-se-visten-exactamente-igual-el-mismo-dia/" TargetMode="External"/><Relationship Id="rId2720" Type="http://schemas.openxmlformats.org/officeDocument/2006/relationships/hyperlink" Target="http://rafaelfiglesias.wordpress.com/" TargetMode="External"/><Relationship Id="rId59" Type="http://schemas.openxmlformats.org/officeDocument/2006/relationships/hyperlink" Target="https://pbs.twimg.com/media/Dt5lMBqWkAAtgZj.jpg" TargetMode="External"/><Relationship Id="rId124" Type="http://schemas.openxmlformats.org/officeDocument/2006/relationships/hyperlink" Target="https://www.elplural.com/politica/caja-b-partido-popular-congreso-diputados-comision-investigacion-villarejo-pablo-casado_207693102" TargetMode="External"/><Relationship Id="rId569" Type="http://schemas.openxmlformats.org/officeDocument/2006/relationships/hyperlink" Target="https://www.youtube.com/channel/UCY60GBj-H8SmayRG1UgDVWw" TargetMode="External"/><Relationship Id="rId776" Type="http://schemas.openxmlformats.org/officeDocument/2006/relationships/hyperlink" Target="http://liverdades.com/" TargetMode="External"/><Relationship Id="rId983" Type="http://schemas.openxmlformats.org/officeDocument/2006/relationships/hyperlink" Target="https://pbs.twimg.com/media/DtmSzMDX4AAmi-V.jpg" TargetMode="External"/><Relationship Id="rId1199" Type="http://schemas.openxmlformats.org/officeDocument/2006/relationships/hyperlink" Target="https://pbs.twimg.com/media/Dto_YxOWsAA_jCY.jpg" TargetMode="External"/><Relationship Id="rId1627" Type="http://schemas.openxmlformats.org/officeDocument/2006/relationships/hyperlink" Target="http://www.carnecruda.es/" TargetMode="External"/><Relationship Id="rId1834" Type="http://schemas.openxmlformats.org/officeDocument/2006/relationships/hyperlink" Target="http://pic.twitter.com/gliYH5v5Zu" TargetMode="External"/><Relationship Id="rId2457" Type="http://schemas.openxmlformats.org/officeDocument/2006/relationships/hyperlink" Target="http://cadenaser.com/ser/2018/11/30/politica/1543613809_281010.html?ssm=fb" TargetMode="External"/><Relationship Id="rId2664" Type="http://schemas.openxmlformats.org/officeDocument/2006/relationships/hyperlink" Target="https://twitter.com/SergiAG_/status/1068942685074001920" TargetMode="External"/><Relationship Id="rId331" Type="http://schemas.openxmlformats.org/officeDocument/2006/relationships/hyperlink" Target="https://www.eldiario.es/_3245821b" TargetMode="External"/><Relationship Id="rId429" Type="http://schemas.openxmlformats.org/officeDocument/2006/relationships/hyperlink" Target="https://blogs.publico.es/strambotic/2018/12/frases-pablo-casado/" TargetMode="External"/><Relationship Id="rId636" Type="http://schemas.openxmlformats.org/officeDocument/2006/relationships/hyperlink" Target="https://ppvillena.wordpress.com/" TargetMode="External"/><Relationship Id="rId1059" Type="http://schemas.openxmlformats.org/officeDocument/2006/relationships/hyperlink" Target="http://epmundo.com/" TargetMode="External"/><Relationship Id="rId1266" Type="http://schemas.openxmlformats.org/officeDocument/2006/relationships/hyperlink" Target="https://www.esdiario.com/959761778/Los-politicos-corrosivos-que-a-Pablo-Casado-aun-le-quedan-por-sacar-del-PP.html" TargetMode="External"/><Relationship Id="rId1473" Type="http://schemas.openxmlformats.org/officeDocument/2006/relationships/hyperlink" Target="https://pbs.twimg.com/media/Dtlrq-tW4AEofZS.jpg" TargetMode="External"/><Relationship Id="rId2012" Type="http://schemas.openxmlformats.org/officeDocument/2006/relationships/hyperlink" Target="https://anacordobes.wordpress.com/cursos-periodismo-datos-transmedia/" TargetMode="External"/><Relationship Id="rId2096" Type="http://schemas.openxmlformats.org/officeDocument/2006/relationships/hyperlink" Target="https://pbs.twimg.com/media/DtcjiwQUwAAH4Km.jpg" TargetMode="External"/><Relationship Id="rId2317" Type="http://schemas.openxmlformats.org/officeDocument/2006/relationships/hyperlink" Target="http://www.rac1.cat/" TargetMode="External"/><Relationship Id="rId843" Type="http://schemas.openxmlformats.org/officeDocument/2006/relationships/hyperlink" Target="http://www.elmundo.es/espana/2018/12/06/5c08e44921efa06f088b48aa.html" TargetMode="External"/><Relationship Id="rId1126" Type="http://schemas.openxmlformats.org/officeDocument/2006/relationships/hyperlink" Target="https://www.youtube.com/attribution_link?a=mLBUwB0ClIg&amp;u=%2Fwatch%3Fv%3D7YzxPU64kIo%26feature%3Dshare" TargetMode="External"/><Relationship Id="rId1680" Type="http://schemas.openxmlformats.org/officeDocument/2006/relationships/hyperlink" Target="http://mundiario.com/" TargetMode="External"/><Relationship Id="rId1778" Type="http://schemas.openxmlformats.org/officeDocument/2006/relationships/hyperlink" Target="https://www.elmundo.es/espana/2018/12/03/5c05442321efa0cc3d8b46bc.html" TargetMode="External"/><Relationship Id="rId1901" Type="http://schemas.openxmlformats.org/officeDocument/2006/relationships/hyperlink" Target="https://m.eldiario.es/_32357b97" TargetMode="External"/><Relationship Id="rId1985" Type="http://schemas.openxmlformats.org/officeDocument/2006/relationships/hyperlink" Target="https://www.elplural.com/politica/pablo-casado-debe-gobernar-la-lista-mas-votada-porque-los-ciudadanos-deciden-con-su-voto_207439102" TargetMode="External"/><Relationship Id="rId2524" Type="http://schemas.openxmlformats.org/officeDocument/2006/relationships/hyperlink" Target="http://www.elmundo.es/espana/2018/12/02/5c02dc68fc6c83e67a8b45a2.html" TargetMode="External"/><Relationship Id="rId2731" Type="http://schemas.openxmlformats.org/officeDocument/2006/relationships/hyperlink" Target="https://www.grandesmedios.com/barcelona-salario-medio-mas-alto/" TargetMode="External"/><Relationship Id="rId275" Type="http://schemas.openxmlformats.org/officeDocument/2006/relationships/hyperlink" Target="https://theprose.com/jotatsu" TargetMode="External"/><Relationship Id="rId482" Type="http://schemas.openxmlformats.org/officeDocument/2006/relationships/hyperlink" Target="https://buff.ly/2Un3QVe" TargetMode="External"/><Relationship Id="rId703" Type="http://schemas.openxmlformats.org/officeDocument/2006/relationships/hyperlink" Target="http://www.vozpopuli.com/" TargetMode="External"/><Relationship Id="rId910" Type="http://schemas.openxmlformats.org/officeDocument/2006/relationships/hyperlink" Target="https://www.elplural.com/politica/vox-exige-a-pp-y-cs-que-andalucia-deje-de-ser-una-realidad-nacional_207636102" TargetMode="External"/><Relationship Id="rId1333" Type="http://schemas.openxmlformats.org/officeDocument/2006/relationships/hyperlink" Target="http://bit.ly/2BPnSQW" TargetMode="External"/><Relationship Id="rId1540" Type="http://schemas.openxmlformats.org/officeDocument/2006/relationships/hyperlink" Target="https://pbs.twimg.com/media/DtlA5_gW4AAESDJ.jpg" TargetMode="External"/><Relationship Id="rId1638" Type="http://schemas.openxmlformats.org/officeDocument/2006/relationships/hyperlink" Target="https://pbs.twimg.com/media/DthKNJfWoAEpNK8.jpg" TargetMode="External"/><Relationship Id="rId2163" Type="http://schemas.openxmlformats.org/officeDocument/2006/relationships/hyperlink" Target="http://instagram.com/daimonion_28" TargetMode="External"/><Relationship Id="rId2370" Type="http://schemas.openxmlformats.org/officeDocument/2006/relationships/hyperlink" Target="http://instagram.com/billpuerta" TargetMode="External"/><Relationship Id="rId135" Type="http://schemas.openxmlformats.org/officeDocument/2006/relationships/hyperlink" Target="https://ift.tt/2PpQCDn" TargetMode="External"/><Relationship Id="rId342" Type="http://schemas.openxmlformats.org/officeDocument/2006/relationships/hyperlink" Target="http://www.elplural.com/users/adri-n-lardiez" TargetMode="External"/><Relationship Id="rId787" Type="http://schemas.openxmlformats.org/officeDocument/2006/relationships/hyperlink" Target="http://www.inmoavery.com/" TargetMode="External"/><Relationship Id="rId994" Type="http://schemas.openxmlformats.org/officeDocument/2006/relationships/hyperlink" Target="https://ecodeteruel.tv/pablo-casado-presenta-este-viernes-en-teruel-a-los-candidatos-a-las-alcaldias-de-la-capitales-aragonesas-emma-buj-ana-alos-y-jorge-azcon" TargetMode="External"/><Relationship Id="rId1400" Type="http://schemas.openxmlformats.org/officeDocument/2006/relationships/hyperlink" Target="http://www.elmundo.es/espana/2018/12/04/5c067532fc6c83df478b45a2.html" TargetMode="External"/><Relationship Id="rId1845" Type="http://schemas.openxmlformats.org/officeDocument/2006/relationships/hyperlink" Target="https://www.publico.es/tremending/2018/11/30/hoy-en-parecidos-razonables-pablo-casado-y-albert-rivera-se-visten-exactamente-igual-el-mismo-dia/" TargetMode="External"/><Relationship Id="rId2023" Type="http://schemas.openxmlformats.org/officeDocument/2006/relationships/hyperlink" Target="https://twitter.com/jmlopezzafra/status/1069505947784151041" TargetMode="External"/><Relationship Id="rId2230" Type="http://schemas.openxmlformats.org/officeDocument/2006/relationships/hyperlink" Target="http://pic.twitter.com/0vqySdCmwI" TargetMode="External"/><Relationship Id="rId2468" Type="http://schemas.openxmlformats.org/officeDocument/2006/relationships/hyperlink" Target="https://pbs.twimg.com/media/Dta6ySvUUAARFHq.jpg" TargetMode="External"/><Relationship Id="rId2675" Type="http://schemas.openxmlformats.org/officeDocument/2006/relationships/hyperlink" Target="http://www.cohousingverde.com/" TargetMode="External"/><Relationship Id="rId202" Type="http://schemas.openxmlformats.org/officeDocument/2006/relationships/hyperlink" Target="https://pbs.twimg.com/media/Dt1YVlaXcAEfb0e.jpg" TargetMode="External"/><Relationship Id="rId647" Type="http://schemas.openxmlformats.org/officeDocument/2006/relationships/hyperlink" Target="https://www.eldiario.es/_324581a7" TargetMode="External"/><Relationship Id="rId854" Type="http://schemas.openxmlformats.org/officeDocument/2006/relationships/hyperlink" Target="https://pbs.twimg.com/media/DtuiNfqWwAExIsK.jpg" TargetMode="External"/><Relationship Id="rId1277" Type="http://schemas.openxmlformats.org/officeDocument/2006/relationships/hyperlink" Target="http://bit.ly/EP_Venezuela" TargetMode="External"/><Relationship Id="rId1484" Type="http://schemas.openxmlformats.org/officeDocument/2006/relationships/hyperlink" Target="http://noticiasvenezuela.org/" TargetMode="External"/><Relationship Id="rId1691" Type="http://schemas.openxmlformats.org/officeDocument/2006/relationships/hyperlink" Target="http://ow.ly/dmJt30mQK7p" TargetMode="External"/><Relationship Id="rId1705" Type="http://schemas.openxmlformats.org/officeDocument/2006/relationships/hyperlink" Target="http://descansodelescriba.blogspot.com/" TargetMode="External"/><Relationship Id="rId1912" Type="http://schemas.openxmlformats.org/officeDocument/2006/relationships/hyperlink" Target="http://ver.20m.es/ggviq1" TargetMode="External"/><Relationship Id="rId2328" Type="http://schemas.openxmlformats.org/officeDocument/2006/relationships/hyperlink" Target="http://stimulationtabou.wordpress.com/" TargetMode="External"/><Relationship Id="rId2535" Type="http://schemas.openxmlformats.org/officeDocument/2006/relationships/hyperlink" Target="http://www.antonioburgos.com/abc/2018/12/re120218.html" TargetMode="External"/><Relationship Id="rId2742" Type="http://schemas.openxmlformats.org/officeDocument/2006/relationships/hyperlink" Target="https://pbs.twimg.com/media/DtWNGL-XoAA-p5a.jpg" TargetMode="External"/><Relationship Id="rId286" Type="http://schemas.openxmlformats.org/officeDocument/2006/relationships/hyperlink" Target="http://pic.twitter.com/5j8B8BNS3t" TargetMode="External"/><Relationship Id="rId493" Type="http://schemas.openxmlformats.org/officeDocument/2006/relationships/hyperlink" Target="https://www.vozpopuli.com/_47601a30" TargetMode="External"/><Relationship Id="rId507" Type="http://schemas.openxmlformats.org/officeDocument/2006/relationships/hyperlink" Target="https://spanishpolice.github.io/" TargetMode="External"/><Relationship Id="rId714" Type="http://schemas.openxmlformats.org/officeDocument/2006/relationships/hyperlink" Target="http://dlvr.it/QszLzK" TargetMode="External"/><Relationship Id="rId921" Type="http://schemas.openxmlformats.org/officeDocument/2006/relationships/hyperlink" Target="https://www.libertaddigital.com/espana/politica/2018-12-06/javier-fernandez-lasquetty-nuevo-jefe-de-gabinete-de-casado-1276629457/" TargetMode="External"/><Relationship Id="rId1137" Type="http://schemas.openxmlformats.org/officeDocument/2006/relationships/hyperlink" Target="https://www.diariocordoba.com/noticias/espana/pablo-casado-abre-puerta-ceder-consejerias-junta-vox_1268501.html" TargetMode="External"/><Relationship Id="rId1344" Type="http://schemas.openxmlformats.org/officeDocument/2006/relationships/hyperlink" Target="https://pbs.twimg.com/media/Dtm5hbLWwAAboBk.jpg" TargetMode="External"/><Relationship Id="rId1551" Type="http://schemas.openxmlformats.org/officeDocument/2006/relationships/hyperlink" Target="http://www.elnacional.cat/" TargetMode="External"/><Relationship Id="rId1789" Type="http://schemas.openxmlformats.org/officeDocument/2006/relationships/hyperlink" Target="https://www.elmundo.es/espana/2018/12/03/5c05442321efa0cc3d8b46bc.html" TargetMode="External"/><Relationship Id="rId1996" Type="http://schemas.openxmlformats.org/officeDocument/2006/relationships/hyperlink" Target="https://pbs.twimg.com/media/DtfFjNaU4AAQGUY.jpg" TargetMode="External"/><Relationship Id="rId2174" Type="http://schemas.openxmlformats.org/officeDocument/2006/relationships/hyperlink" Target="http://pic.twitter.com/BCID8ek2l5" TargetMode="External"/><Relationship Id="rId2381" Type="http://schemas.openxmlformats.org/officeDocument/2006/relationships/hyperlink" Target="https://www.lavozdigital.es/" TargetMode="External"/><Relationship Id="rId2602" Type="http://schemas.openxmlformats.org/officeDocument/2006/relationships/hyperlink" Target="https://www.facebook.com/pages/Antonio-Burgos/359705347555122?sk=timeline" TargetMode="External"/><Relationship Id="rId50" Type="http://schemas.openxmlformats.org/officeDocument/2006/relationships/hyperlink" Target="https://pbs.twimg.com/media/Dt5ofPJW4AAtVNg.jpg" TargetMode="External"/><Relationship Id="rId146" Type="http://schemas.openxmlformats.org/officeDocument/2006/relationships/hyperlink" Target="https://www.facebook.com/groups/188327201920251/" TargetMode="External"/><Relationship Id="rId353" Type="http://schemas.openxmlformats.org/officeDocument/2006/relationships/hyperlink" Target="http://mediterraneo.diario16.com/la-ignorancia-pablo-casado-no-sabe-una-republica/" TargetMode="External"/><Relationship Id="rId560" Type="http://schemas.openxmlformats.org/officeDocument/2006/relationships/hyperlink" Target="http://www.periodistadigital.com/" TargetMode="External"/><Relationship Id="rId798" Type="http://schemas.openxmlformats.org/officeDocument/2006/relationships/hyperlink" Target="http://inmoavery.com/" TargetMode="External"/><Relationship Id="rId1190" Type="http://schemas.openxmlformats.org/officeDocument/2006/relationships/hyperlink" Target="http://ow.ly/9q0u30mRTSa" TargetMode="External"/><Relationship Id="rId1204" Type="http://schemas.openxmlformats.org/officeDocument/2006/relationships/hyperlink" Target="http://www.ideal.es/jaen" TargetMode="External"/><Relationship Id="rId1411" Type="http://schemas.openxmlformats.org/officeDocument/2006/relationships/hyperlink" Target="https://pbs.twimg.com/media/DtmFCrbW0AE2aFP.jpg" TargetMode="External"/><Relationship Id="rId1649" Type="http://schemas.openxmlformats.org/officeDocument/2006/relationships/hyperlink" Target="https://elpais.com/politica/2018/12/03/actualidad/1543865581_428659.html?id_externo_rsoc=TW_CC" TargetMode="External"/><Relationship Id="rId1856" Type="http://schemas.openxmlformats.org/officeDocument/2006/relationships/hyperlink" Target="http://ver.20m.es/ggviq2" TargetMode="External"/><Relationship Id="rId2034" Type="http://schemas.openxmlformats.org/officeDocument/2006/relationships/hyperlink" Target="http://youtu.be/tEDxmRkm-uw?a" TargetMode="External"/><Relationship Id="rId2241" Type="http://schemas.openxmlformats.org/officeDocument/2006/relationships/hyperlink" Target="http://pic.twitter.com/bep2NAwYZG" TargetMode="External"/><Relationship Id="rId2479" Type="http://schemas.openxmlformats.org/officeDocument/2006/relationships/hyperlink" Target="http://dlvr.it/QsdglG" TargetMode="External"/><Relationship Id="rId2686" Type="http://schemas.openxmlformats.org/officeDocument/2006/relationships/hyperlink" Target="http://pic.twitter.com/KnFv42dFIZ" TargetMode="External"/><Relationship Id="rId213" Type="http://schemas.openxmlformats.org/officeDocument/2006/relationships/hyperlink" Target="http://www.huffingtonpost.es/" TargetMode="External"/><Relationship Id="rId420" Type="http://schemas.openxmlformats.org/officeDocument/2006/relationships/hyperlink" Target="http://www.lextres.com/" TargetMode="External"/><Relationship Id="rId658" Type="http://schemas.openxmlformats.org/officeDocument/2006/relationships/hyperlink" Target="https://www.elmundo.es/espana/2018/12/06/5c093b02fc6c83177e8b456f.html" TargetMode="External"/><Relationship Id="rId865" Type="http://schemas.openxmlformats.org/officeDocument/2006/relationships/hyperlink" Target="https://blogs.publico.es/strambotic/" TargetMode="External"/><Relationship Id="rId1050" Type="http://schemas.openxmlformats.org/officeDocument/2006/relationships/hyperlink" Target="https://www.lne.es/asturias/2018/12/05/asturianistas-le-dan-madrenazu-pablo/2391958.html" TargetMode="External"/><Relationship Id="rId1288" Type="http://schemas.openxmlformats.org/officeDocument/2006/relationships/hyperlink" Target="https://pbs.twimg.com/media/DtoB0IpX4AI9VRc.jpg" TargetMode="External"/><Relationship Id="rId1495" Type="http://schemas.openxmlformats.org/officeDocument/2006/relationships/hyperlink" Target="http://pic.twitter.com/ZU94XeCyl5" TargetMode="External"/><Relationship Id="rId1509" Type="http://schemas.openxmlformats.org/officeDocument/2006/relationships/hyperlink" Target="https://www.google.es/amp/s/www.elconfidencial.com/amp/elecciones-andalucia/2018-12-04/elecciones-andalucia-pablo-casado-pp-vox-ciudadanos_1685222/" TargetMode="External"/><Relationship Id="rId1716" Type="http://schemas.openxmlformats.org/officeDocument/2006/relationships/hyperlink" Target="http://quehacenlosdiputados.net/" TargetMode="External"/><Relationship Id="rId1923" Type="http://schemas.openxmlformats.org/officeDocument/2006/relationships/hyperlink" Target="https://www.facebook.com/nuevasgeneraciones.calahorra/posts/928065800697503" TargetMode="External"/><Relationship Id="rId2101" Type="http://schemas.openxmlformats.org/officeDocument/2006/relationships/hyperlink" Target="https://pbs.twimg.com/media/Dtcf5wiWkAAcme5.jpg" TargetMode="External"/><Relationship Id="rId2339" Type="http://schemas.openxmlformats.org/officeDocument/2006/relationships/hyperlink" Target="http://marmotamaligna.wordpress.com/" TargetMode="External"/><Relationship Id="rId2546" Type="http://schemas.openxmlformats.org/officeDocument/2006/relationships/hyperlink" Target="http://cadenaser.com/ser/2018/11/30/politica/1543613809_281010.html?ssm=tw" TargetMode="External"/><Relationship Id="rId2753" Type="http://schemas.openxmlformats.org/officeDocument/2006/relationships/hyperlink" Target="https://www.eljueves.es/news/pablo-casado-considera-que-holocausto-tambien-fue-hito-humanidad_2863?utm_medium=social&amp;utm_source=twitter" TargetMode="External"/><Relationship Id="rId297" Type="http://schemas.openxmlformats.org/officeDocument/2006/relationships/hyperlink" Target="http://mediterraneo.diario16.com/la-ignorancia-pablo-casado-no-sabe-una-republica/" TargetMode="External"/><Relationship Id="rId518" Type="http://schemas.openxmlformats.org/officeDocument/2006/relationships/hyperlink" Target="https://blogs.publico.es/strambotic/2018/12/frases-pablo-casado/" TargetMode="External"/><Relationship Id="rId725" Type="http://schemas.openxmlformats.org/officeDocument/2006/relationships/hyperlink" Target="http://raulcortes.blogspot.com/" TargetMode="External"/><Relationship Id="rId932" Type="http://schemas.openxmlformats.org/officeDocument/2006/relationships/hyperlink" Target="https://frml.tv/86708" TargetMode="External"/><Relationship Id="rId1148" Type="http://schemas.openxmlformats.org/officeDocument/2006/relationships/hyperlink" Target="http://www.cosasdeunabailarina.es/" TargetMode="External"/><Relationship Id="rId1355" Type="http://schemas.openxmlformats.org/officeDocument/2006/relationships/hyperlink" Target="http://www.pedrocastro.es/" TargetMode="External"/><Relationship Id="rId1562" Type="http://schemas.openxmlformats.org/officeDocument/2006/relationships/hyperlink" Target="https://www.elconfidencial.com/elecciones-andalucia/2018-12-04/casado-no-descarta-ceder-consejerias-a-vox-en-un-gobierno-de-juanma-moreno_1685222/?fbclid=IwAR3rTdRpYH4n07y7jUkPnEwPv6LL3DlO5AjBMwqOQPgbAPrj-SMgwRbPOU8" TargetMode="External"/><Relationship Id="rId2185" Type="http://schemas.openxmlformats.org/officeDocument/2006/relationships/hyperlink" Target="http://filodespada.blogspot.com.es/" TargetMode="External"/><Relationship Id="rId2392" Type="http://schemas.openxmlformats.org/officeDocument/2006/relationships/hyperlink" Target="http://www.pepefotografia.es/" TargetMode="External"/><Relationship Id="rId2406" Type="http://schemas.openxmlformats.org/officeDocument/2006/relationships/hyperlink" Target="https://twitter.com/Daviibntz/status/1068886313829568514" TargetMode="External"/><Relationship Id="rId2613" Type="http://schemas.openxmlformats.org/officeDocument/2006/relationships/hyperlink" Target="http://www.elmundo.es/espana/2018/12/02/5c02dc68fc6c83e67a8b45a2.html" TargetMode="External"/><Relationship Id="rId157" Type="http://schemas.openxmlformats.org/officeDocument/2006/relationships/hyperlink" Target="https://judicial.elconfidencialdigital.com/articulo/altos_tribunales/familiar-pablo-casado-llega-tsj-valenciano/20181204181329001862.html" TargetMode="External"/><Relationship Id="rId364" Type="http://schemas.openxmlformats.org/officeDocument/2006/relationships/hyperlink" Target="https://www.elmundo.es/espana/2018/12/07/5c099cb5fdddff55468b474e.html" TargetMode="External"/><Relationship Id="rId1008" Type="http://schemas.openxmlformats.org/officeDocument/2006/relationships/hyperlink" Target="http://bit.ly/EP_EEUU" TargetMode="External"/><Relationship Id="rId1215" Type="http://schemas.openxmlformats.org/officeDocument/2006/relationships/hyperlink" Target="http://www.elmundo.es/espana.html" TargetMode="External"/><Relationship Id="rId1422" Type="http://schemas.openxmlformats.org/officeDocument/2006/relationships/hyperlink" Target="https://twitter.com/Juampi_Merk/status/1067141272794730498" TargetMode="External"/><Relationship Id="rId1867" Type="http://schemas.openxmlformats.org/officeDocument/2006/relationships/hyperlink" Target="https://youtu.be/Xfc5MAG9JGo" TargetMode="External"/><Relationship Id="rId2045" Type="http://schemas.openxmlformats.org/officeDocument/2006/relationships/hyperlink" Target="https://pbs.twimg.com/media/DtcrexSXcAAYUG4.jpg" TargetMode="External"/><Relationship Id="rId2697" Type="http://schemas.openxmlformats.org/officeDocument/2006/relationships/hyperlink" Target="https://www.meneame.net/story/buenos-modales-pablo-casado" TargetMode="External"/><Relationship Id="rId61" Type="http://schemas.openxmlformats.org/officeDocument/2006/relationships/hyperlink" Target="https://www.elmundo.es/espana/2018/12/08/5c0adb54fdddffcc228b45f7.html" TargetMode="External"/><Relationship Id="rId571" Type="http://schemas.openxmlformats.org/officeDocument/2006/relationships/hyperlink" Target="http://vidasvivibles.wordpress.com/" TargetMode="External"/><Relationship Id="rId669" Type="http://schemas.openxmlformats.org/officeDocument/2006/relationships/hyperlink" Target="https://ift.tt/2rma9em" TargetMode="External"/><Relationship Id="rId876" Type="http://schemas.openxmlformats.org/officeDocument/2006/relationships/hyperlink" Target="http://www.asociacionfacultativos.com/" TargetMode="External"/><Relationship Id="rId1299" Type="http://schemas.openxmlformats.org/officeDocument/2006/relationships/hyperlink" Target="http://epmundo.com/" TargetMode="External"/><Relationship Id="rId1727" Type="http://schemas.openxmlformats.org/officeDocument/2006/relationships/hyperlink" Target="http://verne.es/" TargetMode="External"/><Relationship Id="rId1934" Type="http://schemas.openxmlformats.org/officeDocument/2006/relationships/hyperlink" Target="https://www.youtube.com/c/alfilodelabrecha" TargetMode="External"/><Relationship Id="rId2252" Type="http://schemas.openxmlformats.org/officeDocument/2006/relationships/hyperlink" Target="http://pic.twitter.com/rENA07ZKIw" TargetMode="External"/><Relationship Id="rId2557" Type="http://schemas.openxmlformats.org/officeDocument/2006/relationships/hyperlink" Target="http://pic.twitter.com/AZkYuCZfmG" TargetMode="External"/><Relationship Id="rId19" Type="http://schemas.openxmlformats.org/officeDocument/2006/relationships/hyperlink" Target="https://pbs.twimg.com/media/Dt56ClUWsAQZyfF.jpg" TargetMode="External"/><Relationship Id="rId224" Type="http://schemas.openxmlformats.org/officeDocument/2006/relationships/hyperlink" Target="http://youtu.be/sUkSM9OxbW8?a" TargetMode="External"/><Relationship Id="rId431" Type="http://schemas.openxmlformats.org/officeDocument/2006/relationships/hyperlink" Target="https://www.mundiario.com/articulo/politica/casado-ofrecer-consejerias-vox-excluirlo-negociacion/20181206212826140000.html" TargetMode="External"/><Relationship Id="rId529" Type="http://schemas.openxmlformats.org/officeDocument/2006/relationships/hyperlink" Target="https://www.eldiario.es/_324580bb" TargetMode="External"/><Relationship Id="rId736" Type="http://schemas.openxmlformats.org/officeDocument/2006/relationships/hyperlink" Target="https://www.larazon.es/espana/casado-ficha-a-un-hombre-de-aznar-para-frenar-a-vox-y-cs-HP20857505" TargetMode="External"/><Relationship Id="rId1061" Type="http://schemas.openxmlformats.org/officeDocument/2006/relationships/hyperlink" Target="http://www.lextres.com/" TargetMode="External"/><Relationship Id="rId1159" Type="http://schemas.openxmlformats.org/officeDocument/2006/relationships/hyperlink" Target="https://pbs.twimg.com/media/DtpYh4MWoAI8ToK.jpg" TargetMode="External"/><Relationship Id="rId1366" Type="http://schemas.openxmlformats.org/officeDocument/2006/relationships/hyperlink" Target="http://www.eternidadesypegos.blogspot.com/" TargetMode="External"/><Relationship Id="rId2112" Type="http://schemas.openxmlformats.org/officeDocument/2006/relationships/hyperlink" Target="http://pic.twitter.com/Dmy69l3BMy" TargetMode="External"/><Relationship Id="rId2196" Type="http://schemas.openxmlformats.org/officeDocument/2006/relationships/hyperlink" Target="http://www.portalcadista.com/" TargetMode="External"/><Relationship Id="rId2417" Type="http://schemas.openxmlformats.org/officeDocument/2006/relationships/hyperlink" Target="https://instagram.com/p/Bm_s5qVlj0Z/" TargetMode="External"/><Relationship Id="rId2764" Type="http://schemas.openxmlformats.org/officeDocument/2006/relationships/hyperlink" Target="https://www.eljueves.es/news/universidad-rey-juan-carlos-contrata-como-profesor-a-pablo-casado_2968" TargetMode="External"/><Relationship Id="rId168" Type="http://schemas.openxmlformats.org/officeDocument/2006/relationships/hyperlink" Target="http://mediterraneo.diario16.com/la-ignorancia-pablo-casado-no-sabe-una-republica/" TargetMode="External"/><Relationship Id="rId943" Type="http://schemas.openxmlformats.org/officeDocument/2006/relationships/hyperlink" Target="http://www.elplural.com/" TargetMode="External"/><Relationship Id="rId1019" Type="http://schemas.openxmlformats.org/officeDocument/2006/relationships/hyperlink" Target="https://pbs.twimg.com/media/DtpeWeBUwAAX94y.jpg" TargetMode="External"/><Relationship Id="rId1573" Type="http://schemas.openxmlformats.org/officeDocument/2006/relationships/hyperlink" Target="http://pic.twitter.com/VR470YI5z7" TargetMode="External"/><Relationship Id="rId1780" Type="http://schemas.openxmlformats.org/officeDocument/2006/relationships/hyperlink" Target="https://www.instagram.com/angelgarex" TargetMode="External"/><Relationship Id="rId1878" Type="http://schemas.openxmlformats.org/officeDocument/2006/relationships/hyperlink" Target="http://elpais.com/autor/lluis_bassets/a/" TargetMode="External"/><Relationship Id="rId2624" Type="http://schemas.openxmlformats.org/officeDocument/2006/relationships/hyperlink" Target="https://hdma03.wordpress.com/" TargetMode="External"/><Relationship Id="rId72" Type="http://schemas.openxmlformats.org/officeDocument/2006/relationships/hyperlink" Target="https://www.eldiario.es/politica/Casado-Lasquetty-hospitales-Madrid-PP_0_843416091.html" TargetMode="External"/><Relationship Id="rId375" Type="http://schemas.openxmlformats.org/officeDocument/2006/relationships/hyperlink" Target="https://www.elmundo.es/espana/2018/12/07/5c099cb5fdddff55468b474e.html" TargetMode="External"/><Relationship Id="rId582" Type="http://schemas.openxmlformats.org/officeDocument/2006/relationships/hyperlink" Target="https://www.eldiario.es/_324580bb" TargetMode="External"/><Relationship Id="rId803" Type="http://schemas.openxmlformats.org/officeDocument/2006/relationships/hyperlink" Target="https://pbs.twimg.com/media/DtuwRGZXQAA6qmb.jpg" TargetMode="External"/><Relationship Id="rId1226" Type="http://schemas.openxmlformats.org/officeDocument/2006/relationships/hyperlink" Target="https://www.elmundo.es/espana/2018/12/05/5c06eb2afc6c839b5f8b4622.html" TargetMode="External"/><Relationship Id="rId1433" Type="http://schemas.openxmlformats.org/officeDocument/2006/relationships/hyperlink" Target="https://pbs.twimg.com/media/Dtl8tnwWsAAWs7B.jpg" TargetMode="External"/><Relationship Id="rId1640" Type="http://schemas.openxmlformats.org/officeDocument/2006/relationships/hyperlink" Target="https://www.elmundo.es/espana/2018/12/04/5c05a39afc6c83c0748b4763.html" TargetMode="External"/><Relationship Id="rId1738" Type="http://schemas.openxmlformats.org/officeDocument/2006/relationships/hyperlink" Target="http://bit.ly/2AOl198" TargetMode="External"/><Relationship Id="rId2056" Type="http://schemas.openxmlformats.org/officeDocument/2006/relationships/hyperlink" Target="https://www.elmundo.es/andalucia/2018/12/02/5c042eda21efa030288b45c6.html" TargetMode="External"/><Relationship Id="rId2263" Type="http://schemas.openxmlformats.org/officeDocument/2006/relationships/hyperlink" Target="https://instagram.com/reflectora/" TargetMode="External"/><Relationship Id="rId2470" Type="http://schemas.openxmlformats.org/officeDocument/2006/relationships/hyperlink" Target="https://pbs.twimg.com/media/Dta6X-oWkAATzZv.jpg" TargetMode="External"/><Relationship Id="rId3" Type="http://schemas.openxmlformats.org/officeDocument/2006/relationships/hyperlink" Target="http://bit.ly/2QmtlYs" TargetMode="External"/><Relationship Id="rId235" Type="http://schemas.openxmlformats.org/officeDocument/2006/relationships/hyperlink" Target="http://www.lacerca.com/noticias/espana/pp-casado-sanchez-deje-jugar-constitucion-instituciones-psoe-448261-1.html" TargetMode="External"/><Relationship Id="rId442" Type="http://schemas.openxmlformats.org/officeDocument/2006/relationships/hyperlink" Target="https://m.eldiario.es/_324580bb" TargetMode="External"/><Relationship Id="rId887" Type="http://schemas.openxmlformats.org/officeDocument/2006/relationships/hyperlink" Target="https://www.libertaddigital.com/espana/politica/2018-12-06/javier-fernandez-lasquetty-nuevo-jefe-de-gabinete-de-casado-1276629457/" TargetMode="External"/><Relationship Id="rId1072" Type="http://schemas.openxmlformats.org/officeDocument/2006/relationships/hyperlink" Target="http://elpais.com/" TargetMode="External"/><Relationship Id="rId1500" Type="http://schemas.openxmlformats.org/officeDocument/2006/relationships/hyperlink" Target="https://www.elplural.com/politica/pablo-casado-rosa-romero-sancion-partido-popular-cnmv-josep-borrell_207148102" TargetMode="External"/><Relationship Id="rId1945" Type="http://schemas.openxmlformats.org/officeDocument/2006/relationships/hyperlink" Target="http://www.enfoquenoticias.com.mx/" TargetMode="External"/><Relationship Id="rId2123" Type="http://schemas.openxmlformats.org/officeDocument/2006/relationships/hyperlink" Target="http://pic.twitter.com/UMxwvUq2DQ" TargetMode="External"/><Relationship Id="rId2330" Type="http://schemas.openxmlformats.org/officeDocument/2006/relationships/hyperlink" Target="http://ramblalibre.com/2018/12/02/pablo-casado-salva-bastante-mas-que-los-muebles/" TargetMode="External"/><Relationship Id="rId2568" Type="http://schemas.openxmlformats.org/officeDocument/2006/relationships/hyperlink" Target="https://www.huffingtonpost.es/2018/12/01/la-comentada-cobra-de-pablo-casado-al-presidente-del-pp-de-granada_a_23605887/?ncid=other_twitter_cooo9wqtham&amp;utm_campaign=share_twitter" TargetMode="External"/><Relationship Id="rId2775" Type="http://schemas.openxmlformats.org/officeDocument/2006/relationships/hyperlink" Target="https://twitter.com/PPopular/status/1068519586956361730" TargetMode="External"/><Relationship Id="rId302" Type="http://schemas.openxmlformats.org/officeDocument/2006/relationships/hyperlink" Target="http://www.efe.com/" TargetMode="External"/><Relationship Id="rId747" Type="http://schemas.openxmlformats.org/officeDocument/2006/relationships/hyperlink" Target="http://pic.twitter.com/R3ES83UQ01" TargetMode="External"/><Relationship Id="rId954" Type="http://schemas.openxmlformats.org/officeDocument/2006/relationships/hyperlink" Target="http://www.esradio.fm/es-la-manana-de-federico/" TargetMode="External"/><Relationship Id="rId1377" Type="http://schemas.openxmlformats.org/officeDocument/2006/relationships/hyperlink" Target="http://sergiocano.wordpress.com/" TargetMode="External"/><Relationship Id="rId1584" Type="http://schemas.openxmlformats.org/officeDocument/2006/relationships/hyperlink" Target="https://www.diariodesevilla.es/_4ddd9e2a" TargetMode="External"/><Relationship Id="rId1791" Type="http://schemas.openxmlformats.org/officeDocument/2006/relationships/hyperlink" Target="http://youtu.be/2qgKHpR11Vw?a" TargetMode="External"/><Relationship Id="rId1805" Type="http://schemas.openxmlformats.org/officeDocument/2006/relationships/hyperlink" Target="https://www.elplural.com/politica/pablo-casado-debe-gobernar-la-lista-mas-votada-porque-los-ciudadanos-deciden-con-su-voto_207439102" TargetMode="External"/><Relationship Id="rId2428" Type="http://schemas.openxmlformats.org/officeDocument/2006/relationships/hyperlink" Target="https://pbs.twimg.com/media/Dtbx9lhW0AMJPU-.jpg" TargetMode="External"/><Relationship Id="rId2635" Type="http://schemas.openxmlformats.org/officeDocument/2006/relationships/hyperlink" Target="http://www.americahoy.net/" TargetMode="External"/><Relationship Id="rId83" Type="http://schemas.openxmlformats.org/officeDocument/2006/relationships/hyperlink" Target="https://www.huffingtonpost.es/esther-palomera/que-diran-de-ellos-cuando-ya-no-esten_a_23611994/?utm_hp_ref=es-homepage" TargetMode="External"/><Relationship Id="rId179" Type="http://schemas.openxmlformats.org/officeDocument/2006/relationships/hyperlink" Target="http://agaricus.eresmas.net/vspeciosa.htm" TargetMode="External"/><Relationship Id="rId386" Type="http://schemas.openxmlformats.org/officeDocument/2006/relationships/hyperlink" Target="https://m.eldiario.es/politica/Casado-gobernar-Espana-coalicion-Ciudadanos_0_843415975.html" TargetMode="External"/><Relationship Id="rId593" Type="http://schemas.openxmlformats.org/officeDocument/2006/relationships/hyperlink" Target="https://ift.tt/2Efox0x" TargetMode="External"/><Relationship Id="rId607" Type="http://schemas.openxmlformats.org/officeDocument/2006/relationships/hyperlink" Target="http://www.antena3.com/noticias/" TargetMode="External"/><Relationship Id="rId814" Type="http://schemas.openxmlformats.org/officeDocument/2006/relationships/hyperlink" Target="http://www.eldiario.es/murcia/" TargetMode="External"/><Relationship Id="rId1237" Type="http://schemas.openxmlformats.org/officeDocument/2006/relationships/hyperlink" Target="http://elperiodi.co/ar0dl5" TargetMode="External"/><Relationship Id="rId1444" Type="http://schemas.openxmlformats.org/officeDocument/2006/relationships/hyperlink" Target="http://www.multiforo.eu/" TargetMode="External"/><Relationship Id="rId1651" Type="http://schemas.openxmlformats.org/officeDocument/2006/relationships/hyperlink" Target="http://cadenaser.com/ser/2018/12/04/politica/1543911105_662992.html" TargetMode="External"/><Relationship Id="rId1889" Type="http://schemas.openxmlformats.org/officeDocument/2006/relationships/hyperlink" Target="http://www.multiforo.eu/Colaboraciones/2018/TratadoDeUtrechDos.htm" TargetMode="External"/><Relationship Id="rId2067" Type="http://schemas.openxmlformats.org/officeDocument/2006/relationships/hyperlink" Target="http://ver.20m.es/gl9ak2" TargetMode="External"/><Relationship Id="rId2274" Type="http://schemas.openxmlformats.org/officeDocument/2006/relationships/hyperlink" Target="http://patatalover.com/" TargetMode="External"/><Relationship Id="rId2481" Type="http://schemas.openxmlformats.org/officeDocument/2006/relationships/hyperlink" Target="https://lavidaeningles.wordpress.com/" TargetMode="External"/><Relationship Id="rId2702" Type="http://schemas.openxmlformats.org/officeDocument/2006/relationships/hyperlink" Target="https://pbs.twimg.com/media/DtW7lfvXcAEUEyG.jpg" TargetMode="External"/><Relationship Id="rId246" Type="http://schemas.openxmlformats.org/officeDocument/2006/relationships/hyperlink" Target="https://www.publico.es/politica/pp-lasquetty-vuelve-genova-nuevo-jefe-gabinete-casado.html?utm_source=twitter&amp;utm_medium=social&amp;utm_campaign=publico" TargetMode="External"/><Relationship Id="rId453" Type="http://schemas.openxmlformats.org/officeDocument/2006/relationships/hyperlink" Target="https://youtu.be/6swgiM9vSEE" TargetMode="External"/><Relationship Id="rId660" Type="http://schemas.openxmlformats.org/officeDocument/2006/relationships/hyperlink" Target="http://www.elmundo.es/" TargetMode="External"/><Relationship Id="rId898" Type="http://schemas.openxmlformats.org/officeDocument/2006/relationships/hyperlink" Target="https://www.libertaddigital.com/espana/politica/2018-12-06/javier-fernandez-lasquetty-nuevo-jefe-de-gabinete-de-casado-1276629457/" TargetMode="External"/><Relationship Id="rId1083" Type="http://schemas.openxmlformats.org/officeDocument/2006/relationships/hyperlink" Target="https://eldebatedehoy.es/historia/hispania-juego/" TargetMode="External"/><Relationship Id="rId1290" Type="http://schemas.openxmlformats.org/officeDocument/2006/relationships/hyperlink" Target="http://tu-espacio.com/" TargetMode="External"/><Relationship Id="rId1304" Type="http://schemas.openxmlformats.org/officeDocument/2006/relationships/hyperlink" Target="https://www.libertaddigital.com/espana/politica/2018-11-27/santi-abascal-a-casado-la-recuperacion-de-las-competencias-en-educacion-es-gracias-a-vox-1276628973/" TargetMode="External"/><Relationship Id="rId1511" Type="http://schemas.openxmlformats.org/officeDocument/2006/relationships/hyperlink" Target="https://pbs.twimg.com/media/DtlRfCHXgAIRKgT.jpg" TargetMode="External"/><Relationship Id="rId1749" Type="http://schemas.openxmlformats.org/officeDocument/2006/relationships/hyperlink" Target="http://pic.twitter.com/nzullhFkK1" TargetMode="External"/><Relationship Id="rId1956" Type="http://schemas.openxmlformats.org/officeDocument/2006/relationships/hyperlink" Target="https://curiouscat.me/extralfred" TargetMode="External"/><Relationship Id="rId2134" Type="http://schemas.openxmlformats.org/officeDocument/2006/relationships/hyperlink" Target="http://www.ppmadrid.es/" TargetMode="External"/><Relationship Id="rId2341" Type="http://schemas.openxmlformats.org/officeDocument/2006/relationships/hyperlink" Target="http://www.jfcuellar.info/" TargetMode="External"/><Relationship Id="rId2579" Type="http://schemas.openxmlformats.org/officeDocument/2006/relationships/hyperlink" Target="https://bit.ly/2E8PFhI" TargetMode="External"/><Relationship Id="rId2786" Type="http://schemas.openxmlformats.org/officeDocument/2006/relationships/hyperlink" Target="http://www.huffingtonpost.es/" TargetMode="External"/><Relationship Id="rId106" Type="http://schemas.openxmlformats.org/officeDocument/2006/relationships/hyperlink" Target="http://elnortedecastilla.es/" TargetMode="External"/><Relationship Id="rId313" Type="http://schemas.openxmlformats.org/officeDocument/2006/relationships/hyperlink" Target="https://pbs.twimg.com/media/Dt0Aj6UW0AAUMAZ.jpg" TargetMode="External"/><Relationship Id="rId758" Type="http://schemas.openxmlformats.org/officeDocument/2006/relationships/hyperlink" Target="http://www.lextres.com/" TargetMode="External"/><Relationship Id="rId965" Type="http://schemas.openxmlformats.org/officeDocument/2006/relationships/hyperlink" Target="http://www.diariolirico.es/" TargetMode="External"/><Relationship Id="rId1150" Type="http://schemas.openxmlformats.org/officeDocument/2006/relationships/hyperlink" Target="https://eldebatedehoy.es/cultura/33-el-musical/" TargetMode="External"/><Relationship Id="rId1388" Type="http://schemas.openxmlformats.org/officeDocument/2006/relationships/hyperlink" Target="https://pbs.twimg.com/media/DtmM8LLW4AEA318.jpg" TargetMode="External"/><Relationship Id="rId1595" Type="http://schemas.openxmlformats.org/officeDocument/2006/relationships/hyperlink" Target="https://www.eldiario.es/rastreador/Klux-Klan-Vox-Reconquista-Andalucia_6_842775724.html" TargetMode="External"/><Relationship Id="rId1609" Type="http://schemas.openxmlformats.org/officeDocument/2006/relationships/hyperlink" Target="http://apistonazos.wordpress.com/" TargetMode="External"/><Relationship Id="rId1816" Type="http://schemas.openxmlformats.org/officeDocument/2006/relationships/hyperlink" Target="http://www.elasterisco.es/" TargetMode="External"/><Relationship Id="rId2439" Type="http://schemas.openxmlformats.org/officeDocument/2006/relationships/hyperlink" Target="http://page.is/victoria-ross" TargetMode="External"/><Relationship Id="rId2646" Type="http://schemas.openxmlformats.org/officeDocument/2006/relationships/hyperlink" Target="http://tinyurl.com/y7cqhy7l" TargetMode="External"/><Relationship Id="rId10" Type="http://schemas.openxmlformats.org/officeDocument/2006/relationships/hyperlink" Target="http://www.lavozdelbecario.es/" TargetMode="External"/><Relationship Id="rId94" Type="http://schemas.openxmlformats.org/officeDocument/2006/relationships/hyperlink" Target="https://twitter.com/WyomingAgain/status/1070803140348387328" TargetMode="External"/><Relationship Id="rId397" Type="http://schemas.openxmlformats.org/officeDocument/2006/relationships/hyperlink" Target="http://www.linkedin.com/in/frubira" TargetMode="External"/><Relationship Id="rId520" Type="http://schemas.openxmlformats.org/officeDocument/2006/relationships/hyperlink" Target="https://blogs.publico.es/strambotic/2018/12/frases-pablo-casado/?utm_source=twitter&amp;utm_medium=social&amp;utm_campaign=publico" TargetMode="External"/><Relationship Id="rId618" Type="http://schemas.openxmlformats.org/officeDocument/2006/relationships/hyperlink" Target="http://www.lavanguardia.com/" TargetMode="External"/><Relationship Id="rId825" Type="http://schemas.openxmlformats.org/officeDocument/2006/relationships/hyperlink" Target="http://www.zapper.news/" TargetMode="External"/><Relationship Id="rId1248" Type="http://schemas.openxmlformats.org/officeDocument/2006/relationships/hyperlink" Target="https://pbs.twimg.com/media/DtonkthWwAAGAGa.jpg" TargetMode="External"/><Relationship Id="rId1455" Type="http://schemas.openxmlformats.org/officeDocument/2006/relationships/hyperlink" Target="https://pbs.twimg.com/media/DsZ3UAQW0AAjFrW.jpg" TargetMode="External"/><Relationship Id="rId1662" Type="http://schemas.openxmlformats.org/officeDocument/2006/relationships/hyperlink" Target="https://www.elconfidencial.com/espana/2018-12-03/elecciones-andalucia-pp-junta-casado-rivera-abascal-pactos_1683910/?utm_source=facebook&amp;utm_medium=social&amp;utm_campaign=BotoneraWeb" TargetMode="External"/><Relationship Id="rId2078" Type="http://schemas.openxmlformats.org/officeDocument/2006/relationships/hyperlink" Target="http://www.grancanariatv.com/" TargetMode="External"/><Relationship Id="rId2201" Type="http://schemas.openxmlformats.org/officeDocument/2006/relationships/hyperlink" Target="http://pic.twitter.com/dRriDe2Wmx" TargetMode="External"/><Relationship Id="rId2285" Type="http://schemas.openxmlformats.org/officeDocument/2006/relationships/hyperlink" Target="http://alcantarillasocial.com/author/protestona1" TargetMode="External"/><Relationship Id="rId2492" Type="http://schemas.openxmlformats.org/officeDocument/2006/relationships/hyperlink" Target="http://santacreu.redsat.net/pablo-casado-y-las-malas-companias-pablocasado_/" TargetMode="External"/><Relationship Id="rId2506" Type="http://schemas.openxmlformats.org/officeDocument/2006/relationships/hyperlink" Target="http://luistellom.blogspot.com.es/" TargetMode="External"/><Relationship Id="rId257" Type="http://schemas.openxmlformats.org/officeDocument/2006/relationships/hyperlink" Target="http://checaresmien.org/" TargetMode="External"/><Relationship Id="rId464" Type="http://schemas.openxmlformats.org/officeDocument/2006/relationships/hyperlink" Target="https://twitter.com/Pablo_Iglesias_/status/1070706854165168128" TargetMode="External"/><Relationship Id="rId1010" Type="http://schemas.openxmlformats.org/officeDocument/2006/relationships/hyperlink" Target="http://www.atlanticaxxii.com/" TargetMode="External"/><Relationship Id="rId1094" Type="http://schemas.openxmlformats.org/officeDocument/2006/relationships/hyperlink" Target="https://pbs.twimg.com/media/DtqLUWnWwAEPlHF.jpg" TargetMode="External"/><Relationship Id="rId1108" Type="http://schemas.openxmlformats.org/officeDocument/2006/relationships/hyperlink" Target="https://www.eleconomista.es/politica/noticias/9564701/12/18/El-PSOE-seguiria-sacando-mas-de-10-puntos-a-PP-y-Ciudadanos-en-unas-generales-segun-el-CIS-elaborado-justo-antes-de-las-andaluzas.html" TargetMode="External"/><Relationship Id="rId1315" Type="http://schemas.openxmlformats.org/officeDocument/2006/relationships/hyperlink" Target="http://epmundo.com/espana" TargetMode="External"/><Relationship Id="rId1967" Type="http://schemas.openxmlformats.org/officeDocument/2006/relationships/hyperlink" Target="http://www.efe.com/" TargetMode="External"/><Relationship Id="rId2145" Type="http://schemas.openxmlformats.org/officeDocument/2006/relationships/hyperlink" Target="https://www.mundiario.com/articulo/politica/pablo-casado-casado-critica-vox/20181129212656139246.html" TargetMode="External"/><Relationship Id="rId2713" Type="http://schemas.openxmlformats.org/officeDocument/2006/relationships/hyperlink" Target="https://diario6.com/el-jefe-de-prensa-de-pablo-casado-esta-imputado-por-fraude-malversacion-y-trafico-de-influencias/" TargetMode="External"/><Relationship Id="rId2797" Type="http://schemas.openxmlformats.org/officeDocument/2006/relationships/hyperlink" Target="https://pbs.twimg.com/media/DtVdeI5WoAUhoGq.jpg" TargetMode="External"/><Relationship Id="rId117" Type="http://schemas.openxmlformats.org/officeDocument/2006/relationships/hyperlink" Target="https://twitter.com/pablocasado_/status/1071038887114539014" TargetMode="External"/><Relationship Id="rId671" Type="http://schemas.openxmlformats.org/officeDocument/2006/relationships/hyperlink" Target="https://ift.tt/2rma9em" TargetMode="External"/><Relationship Id="rId769" Type="http://schemas.openxmlformats.org/officeDocument/2006/relationships/hyperlink" Target="http://www.antonionavia.com/" TargetMode="External"/><Relationship Id="rId976" Type="http://schemas.openxmlformats.org/officeDocument/2006/relationships/hyperlink" Target="https://www.elplural.com/politica/vox-exige-a-pp-y-cs-que-andalucia-deje-de-ser-una-realidad-nacional_207636102" TargetMode="External"/><Relationship Id="rId1399" Type="http://schemas.openxmlformats.org/officeDocument/2006/relationships/hyperlink" Target="http://bit.ly/EP_Venezuela" TargetMode="External"/><Relationship Id="rId2352" Type="http://schemas.openxmlformats.org/officeDocument/2006/relationships/hyperlink" Target="https://elperiodismomoderno.wordpress.com/" TargetMode="External"/><Relationship Id="rId2657" Type="http://schemas.openxmlformats.org/officeDocument/2006/relationships/hyperlink" Target="https://www.publico.es/tremending/2018/11/30/hoy-en-parecidos-razonables-pablo-casado-y-albert-rivera-se-visten-exactamente-igual-el-mismo-dia/" TargetMode="External"/><Relationship Id="rId324" Type="http://schemas.openxmlformats.org/officeDocument/2006/relationships/hyperlink" Target="https://www.huffingtonpost.es/2018/12/07/el-pp-ya-negocia-con-cs-un-acuerdo-en-andalucia-y-dice-que-vox-es-bienvenido_a_23611526/" TargetMode="External"/><Relationship Id="rId531" Type="http://schemas.openxmlformats.org/officeDocument/2006/relationships/hyperlink" Target="http://1palabratuyabastaraparasanarme.blogspot.com.es/" TargetMode="External"/><Relationship Id="rId629" Type="http://schemas.openxmlformats.org/officeDocument/2006/relationships/hyperlink" Target="http://podemos.info/" TargetMode="External"/><Relationship Id="rId1161" Type="http://schemas.openxmlformats.org/officeDocument/2006/relationships/hyperlink" Target="https://twitter.com/gabrielrufian/status/1070053903570530304" TargetMode="External"/><Relationship Id="rId1259" Type="http://schemas.openxmlformats.org/officeDocument/2006/relationships/hyperlink" Target="https://pbs.twimg.com/media/DtokHcgW4AAqK52.jpg" TargetMode="External"/><Relationship Id="rId1466" Type="http://schemas.openxmlformats.org/officeDocument/2006/relationships/hyperlink" Target="http://epmundo.com/2018/contundente-pablo-casado-defiende-la-inviolabilidad-del-rey/" TargetMode="External"/><Relationship Id="rId2005" Type="http://schemas.openxmlformats.org/officeDocument/2006/relationships/hyperlink" Target="https://www.youtube.com/watch?v=fsJrOonCg3A" TargetMode="External"/><Relationship Id="rId2212" Type="http://schemas.openxmlformats.org/officeDocument/2006/relationships/hyperlink" Target="http://www.ramonloboweb.com/" TargetMode="External"/><Relationship Id="rId836" Type="http://schemas.openxmlformats.org/officeDocument/2006/relationships/hyperlink" Target="https://www.larazon.es/espana/defender-la-constitucion-por-pablo-casado-FP20854122" TargetMode="External"/><Relationship Id="rId1021" Type="http://schemas.openxmlformats.org/officeDocument/2006/relationships/hyperlink" Target="https://pbs.twimg.com/media/DtrTgr0XgAEvh1s.jpg" TargetMode="External"/><Relationship Id="rId1119" Type="http://schemas.openxmlformats.org/officeDocument/2006/relationships/hyperlink" Target="http://ow.ly/ODES30mRXWT" TargetMode="External"/><Relationship Id="rId1673" Type="http://schemas.openxmlformats.org/officeDocument/2006/relationships/hyperlink" Target="https://www.elmundo.es/espana/2018/12/04/5c05a39afc6c83c0748b4763.html" TargetMode="External"/><Relationship Id="rId1880" Type="http://schemas.openxmlformats.org/officeDocument/2006/relationships/hyperlink" Target="http://tv.libertaddigital.com/" TargetMode="External"/><Relationship Id="rId1978" Type="http://schemas.openxmlformats.org/officeDocument/2006/relationships/hyperlink" Target="http://ow.ly/kpuG30mQa2S" TargetMode="External"/><Relationship Id="rId2517" Type="http://schemas.openxmlformats.org/officeDocument/2006/relationships/hyperlink" Target="http://jesusmariauriz.blogspot.com/" TargetMode="External"/><Relationship Id="rId2724" Type="http://schemas.openxmlformats.org/officeDocument/2006/relationships/hyperlink" Target="http://www.facebook.com/mikytoytoy" TargetMode="External"/><Relationship Id="rId903" Type="http://schemas.openxmlformats.org/officeDocument/2006/relationships/hyperlink" Target="https://www.larazon.es/espana/defender-la-constitucion-por-pablo-casado-FP20854122" TargetMode="External"/><Relationship Id="rId1326" Type="http://schemas.openxmlformats.org/officeDocument/2006/relationships/hyperlink" Target="https://pbs.twimg.com/media/DtnGE_AXQAEWY2Y.jpg" TargetMode="External"/><Relationship Id="rId1533" Type="http://schemas.openxmlformats.org/officeDocument/2006/relationships/hyperlink" Target="http://cadenaser.com/emisora/2018/11/30/radio_cordoba/1543603194_695608.html?ssm=fb" TargetMode="External"/><Relationship Id="rId1740" Type="http://schemas.openxmlformats.org/officeDocument/2006/relationships/hyperlink" Target="http://theobjective.com/" TargetMode="External"/><Relationship Id="rId32" Type="http://schemas.openxmlformats.org/officeDocument/2006/relationships/hyperlink" Target="http://ver.20m.es/1kc5l1" TargetMode="External"/><Relationship Id="rId1600" Type="http://schemas.openxmlformats.org/officeDocument/2006/relationships/hyperlink" Target="http://bit.ly/2FY0BRd" TargetMode="External"/><Relationship Id="rId1838" Type="http://schemas.openxmlformats.org/officeDocument/2006/relationships/hyperlink" Target="http://theobjective.com/" TargetMode="External"/><Relationship Id="rId181" Type="http://schemas.openxmlformats.org/officeDocument/2006/relationships/hyperlink" Target="https://www.elplural.com/autonomias/andalucia/el-futuro-de-andalucia-se-decide-en-madrid_207700102" TargetMode="External"/><Relationship Id="rId1905" Type="http://schemas.openxmlformats.org/officeDocument/2006/relationships/hyperlink" Target="http://elprogreso.galiciae.com/" TargetMode="External"/><Relationship Id="rId279" Type="http://schemas.openxmlformats.org/officeDocument/2006/relationships/hyperlink" Target="http://eldiario.es/" TargetMode="External"/><Relationship Id="rId486" Type="http://schemas.openxmlformats.org/officeDocument/2006/relationships/hyperlink" Target="https://ift.tt/2QCOnRP" TargetMode="External"/><Relationship Id="rId693" Type="http://schemas.openxmlformats.org/officeDocument/2006/relationships/hyperlink" Target="http://www.nuevarevolucion.es/" TargetMode="External"/><Relationship Id="rId2167" Type="http://schemas.openxmlformats.org/officeDocument/2006/relationships/hyperlink" Target="https://pbs.twimg.com/media/DtciCXiXoAMwvoK.jpg" TargetMode="External"/><Relationship Id="rId2374" Type="http://schemas.openxmlformats.org/officeDocument/2006/relationships/hyperlink" Target="https://www.eldiario.es/escolar/Pablo-Casado-Poder-Judicial-Cosido_6_838576166.html" TargetMode="External"/><Relationship Id="rId2581" Type="http://schemas.openxmlformats.org/officeDocument/2006/relationships/hyperlink" Target="https://www.publico.es/tremending/2018/11/30/hoy-en-parecidos-razonables-pablo-casado-y-albert-rivera-se-visten-exactamente-igual-el-mismo-dia/?fbclid=IwAR0AJUACexpq2vDlplHCs8oCzaJIjGDvV064yKpWbn8oRmckPq3pbXCVo60" TargetMode="External"/><Relationship Id="rId139" Type="http://schemas.openxmlformats.org/officeDocument/2006/relationships/hyperlink" Target="https://ift.tt/2G4PDsZ" TargetMode="External"/><Relationship Id="rId346" Type="http://schemas.openxmlformats.org/officeDocument/2006/relationships/hyperlink" Target="http://pic.twitter.com/WMEK4B0dlp" TargetMode="External"/><Relationship Id="rId553" Type="http://schemas.openxmlformats.org/officeDocument/2006/relationships/hyperlink" Target="http://triangol.agency/" TargetMode="External"/><Relationship Id="rId760" Type="http://schemas.openxmlformats.org/officeDocument/2006/relationships/hyperlink" Target="http://partidorepes.wordpress.com/" TargetMode="External"/><Relationship Id="rId998" Type="http://schemas.openxmlformats.org/officeDocument/2006/relationships/hyperlink" Target="https://www.elplural.com/politica/cis-valoracion-lideres-pablo-iglesias-pablo-casado-pedro-sanchez_207613102" TargetMode="External"/><Relationship Id="rId1183" Type="http://schemas.openxmlformats.org/officeDocument/2006/relationships/hyperlink" Target="https://pbs.twimg.com/media/DtpJzDKXgAIFCyY.jpg" TargetMode="External"/><Relationship Id="rId1390" Type="http://schemas.openxmlformats.org/officeDocument/2006/relationships/hyperlink" Target="https://pbs.twimg.com/media/DtkxSmtX4AAs3aG.jpg" TargetMode="External"/><Relationship Id="rId2027" Type="http://schemas.openxmlformats.org/officeDocument/2006/relationships/hyperlink" Target="http://reorientats.com/" TargetMode="External"/><Relationship Id="rId2234" Type="http://schemas.openxmlformats.org/officeDocument/2006/relationships/hyperlink" Target="http://es.favstar.fm/users/daniel_hervas" TargetMode="External"/><Relationship Id="rId2441" Type="http://schemas.openxmlformats.org/officeDocument/2006/relationships/hyperlink" Target="http://www.vichu.es/" TargetMode="External"/><Relationship Id="rId2679" Type="http://schemas.openxmlformats.org/officeDocument/2006/relationships/hyperlink" Target="http://pic.twitter.com/lOJUjNKAgn" TargetMode="External"/><Relationship Id="rId206" Type="http://schemas.openxmlformats.org/officeDocument/2006/relationships/hyperlink" Target="http://somosecd.com/jn_rh6" TargetMode="External"/><Relationship Id="rId413" Type="http://schemas.openxmlformats.org/officeDocument/2006/relationships/hyperlink" Target="https://www.eldiario.es/politica/Casado-gobernar-Espana-coalicion-Ciudadanos_0_843415975.html" TargetMode="External"/><Relationship Id="rId858" Type="http://schemas.openxmlformats.org/officeDocument/2006/relationships/hyperlink" Target="http://www.rtve.es/noticias/mas-24/" TargetMode="External"/><Relationship Id="rId1043" Type="http://schemas.openxmlformats.org/officeDocument/2006/relationships/hyperlink" Target="http://www.multiforo.eu/" TargetMode="External"/><Relationship Id="rId1488" Type="http://schemas.openxmlformats.org/officeDocument/2006/relationships/hyperlink" Target="http://www.multiforo.eu/" TargetMode="External"/><Relationship Id="rId1695" Type="http://schemas.openxmlformats.org/officeDocument/2006/relationships/hyperlink" Target="http://borja.adsuara.es/" TargetMode="External"/><Relationship Id="rId2539" Type="http://schemas.openxmlformats.org/officeDocument/2006/relationships/hyperlink" Target="http://www.masaborreguera.com/" TargetMode="External"/><Relationship Id="rId2746" Type="http://schemas.openxmlformats.org/officeDocument/2006/relationships/hyperlink" Target="https://www.facebook.com/pages/El-currito-y-su-almohada/698512856891162" TargetMode="External"/><Relationship Id="rId620" Type="http://schemas.openxmlformats.org/officeDocument/2006/relationships/hyperlink" Target="http://www.anitathomsen.info/" TargetMode="External"/><Relationship Id="rId718" Type="http://schemas.openxmlformats.org/officeDocument/2006/relationships/hyperlink" Target="https://m.eldiario.es/_324580bb" TargetMode="External"/><Relationship Id="rId925" Type="http://schemas.openxmlformats.org/officeDocument/2006/relationships/hyperlink" Target="http://www.diegosanchezdelacruz.com/" TargetMode="External"/><Relationship Id="rId1250" Type="http://schemas.openxmlformats.org/officeDocument/2006/relationships/hyperlink" Target="https://www.20minutos.es/noticia/3508591/0/pablo-casado-40-anos-constitucion-de-todos/" TargetMode="External"/><Relationship Id="rId1348" Type="http://schemas.openxmlformats.org/officeDocument/2006/relationships/hyperlink" Target="http://www.ccoo.cat/" TargetMode="External"/><Relationship Id="rId1555" Type="http://schemas.openxmlformats.org/officeDocument/2006/relationships/hyperlink" Target="https://elpais.com/politica/2018/12/03/actualidad/1543847174_403261.html" TargetMode="External"/><Relationship Id="rId1762" Type="http://schemas.openxmlformats.org/officeDocument/2006/relationships/hyperlink" Target="https://pbs.twimg.com/media/DthEnpkWkAUDML9.jpg" TargetMode="External"/><Relationship Id="rId2301" Type="http://schemas.openxmlformats.org/officeDocument/2006/relationships/hyperlink" Target="http://rinconskreemer.blogspot.com.es/" TargetMode="External"/><Relationship Id="rId2606" Type="http://schemas.openxmlformats.org/officeDocument/2006/relationships/hyperlink" Target="https://pbs.twimg.com/media/DtZdOd6XgAA5VY6.jpg" TargetMode="External"/><Relationship Id="rId1110" Type="http://schemas.openxmlformats.org/officeDocument/2006/relationships/hyperlink" Target="http://www.lextres.com/" TargetMode="External"/><Relationship Id="rId1208" Type="http://schemas.openxmlformats.org/officeDocument/2006/relationships/hyperlink" Target="https://www.elperiodicoextremadura.com/noticias/espana/pablo-casado-abre-puerta-ceder-consejerias-junta-vox_1130427.html" TargetMode="External"/><Relationship Id="rId1415" Type="http://schemas.openxmlformats.org/officeDocument/2006/relationships/hyperlink" Target="https://pbs.twimg.com/media/DtkxhtxXcAAhTpg.jpg" TargetMode="External"/><Relationship Id="rId54" Type="http://schemas.openxmlformats.org/officeDocument/2006/relationships/hyperlink" Target="http://quepasaenmurcia.net/" TargetMode="External"/><Relationship Id="rId1622" Type="http://schemas.openxmlformats.org/officeDocument/2006/relationships/hyperlink" Target="https://twitter.com/NoelaBao/status/1069570105128955904" TargetMode="External"/><Relationship Id="rId1927" Type="http://schemas.openxmlformats.org/officeDocument/2006/relationships/hyperlink" Target="http://www.pabloherascasado.com/" TargetMode="External"/><Relationship Id="rId2091" Type="http://schemas.openxmlformats.org/officeDocument/2006/relationships/hyperlink" Target="https://pbs.twimg.com/media/Dtc-Z9WXQAI7ZKo.jpg" TargetMode="External"/><Relationship Id="rId2189" Type="http://schemas.openxmlformats.org/officeDocument/2006/relationships/hyperlink" Target="https://pbs.twimg.com/media/Dtcg4YnWsAA8WU7.jpg" TargetMode="External"/><Relationship Id="rId270" Type="http://schemas.openxmlformats.org/officeDocument/2006/relationships/hyperlink" Target="https://bit.ly/2B1NyrU" TargetMode="External"/><Relationship Id="rId2396" Type="http://schemas.openxmlformats.org/officeDocument/2006/relationships/hyperlink" Target="https://pbs.twimg.com/media/DtcHFxhXoAAu5l7.jpg" TargetMode="External"/><Relationship Id="rId130" Type="http://schemas.openxmlformats.org/officeDocument/2006/relationships/hyperlink" Target="https://www.elplural.com/politica/caja-b-partido-popular-congreso-diputados-comision-investigacion-villarejo-pablo-casado_207693102" TargetMode="External"/><Relationship Id="rId368" Type="http://schemas.openxmlformats.org/officeDocument/2006/relationships/hyperlink" Target="http://somosecd.com/jn_rh2" TargetMode="External"/><Relationship Id="rId575" Type="http://schemas.openxmlformats.org/officeDocument/2006/relationships/hyperlink" Target="https://pbs.twimg.com/media/Dtv7twsVsAAKChH.jpg" TargetMode="External"/><Relationship Id="rId782" Type="http://schemas.openxmlformats.org/officeDocument/2006/relationships/hyperlink" Target="https://www.hispanidad.com/confidencial/el-problema-de-pablo-casado-si-puedes-votar-a-ciudadanos-o-a-vox-por-que-vas-a-votar-al-pp_12006027_102.html?utm_source=Twitter&amp;utm_medium=Social&amp;utm_content=Post" TargetMode="External"/><Relationship Id="rId2049" Type="http://schemas.openxmlformats.org/officeDocument/2006/relationships/hyperlink" Target="http://www.europapress.es/nacional/" TargetMode="External"/><Relationship Id="rId2256" Type="http://schemas.openxmlformats.org/officeDocument/2006/relationships/hyperlink" Target="https://twitter.com/Piruletadementa/status/1069357703477297154" TargetMode="External"/><Relationship Id="rId2463" Type="http://schemas.openxmlformats.org/officeDocument/2006/relationships/hyperlink" Target="http://dlvr.it/Qsdm64" TargetMode="External"/><Relationship Id="rId2670" Type="http://schemas.openxmlformats.org/officeDocument/2006/relationships/hyperlink" Target="http://www.ctxt.es/" TargetMode="External"/><Relationship Id="rId228" Type="http://schemas.openxmlformats.org/officeDocument/2006/relationships/hyperlink" Target="https://m.eldiario.es/_2eb9b61f" TargetMode="External"/><Relationship Id="rId435" Type="http://schemas.openxmlformats.org/officeDocument/2006/relationships/hyperlink" Target="http://www.medicinaevolutiva.com/" TargetMode="External"/><Relationship Id="rId642" Type="http://schemas.openxmlformats.org/officeDocument/2006/relationships/hyperlink" Target="https://m.eldiario.es/_324580bb" TargetMode="External"/><Relationship Id="rId1065" Type="http://schemas.openxmlformats.org/officeDocument/2006/relationships/hyperlink" Target="http://ow.ly/ufOQ30mS11d" TargetMode="External"/><Relationship Id="rId1272" Type="http://schemas.openxmlformats.org/officeDocument/2006/relationships/hyperlink" Target="https://www.elmundo.es/espana/2018/12/04/5c05a39afc6c83c0748b4763.html" TargetMode="External"/><Relationship Id="rId2116" Type="http://schemas.openxmlformats.org/officeDocument/2006/relationships/hyperlink" Target="http://www.m95tv.es/" TargetMode="External"/><Relationship Id="rId2323" Type="http://schemas.openxmlformats.org/officeDocument/2006/relationships/hyperlink" Target="http://trendinalia.com/twitter-trending-topics/spain/" TargetMode="External"/><Relationship Id="rId2530" Type="http://schemas.openxmlformats.org/officeDocument/2006/relationships/hyperlink" Target="http://cadenaser.com/ser/2018/11/30/politica/1543613809_281010.html?ssm=tw" TargetMode="External"/><Relationship Id="rId2768" Type="http://schemas.openxmlformats.org/officeDocument/2006/relationships/hyperlink" Target="https://www.eljueves.es/news/albert-rivera-y-pablo-casado-intercambian-sus-vidas-durante-semana-y-nadie-se-da-cuenta_2734" TargetMode="External"/><Relationship Id="rId502" Type="http://schemas.openxmlformats.org/officeDocument/2006/relationships/hyperlink" Target="https://www.eldiario.es/_324580bb" TargetMode="External"/><Relationship Id="rId947" Type="http://schemas.openxmlformats.org/officeDocument/2006/relationships/hyperlink" Target="http://dlvr.it/QsxgVX" TargetMode="External"/><Relationship Id="rId1132" Type="http://schemas.openxmlformats.org/officeDocument/2006/relationships/hyperlink" Target="https://www.elmundo.es/espana/2018/12/05/5c07b140fc6c834c318b4680.html" TargetMode="External"/><Relationship Id="rId1577" Type="http://schemas.openxmlformats.org/officeDocument/2006/relationships/hyperlink" Target="http://atres.red/e46qf1" TargetMode="External"/><Relationship Id="rId1784" Type="http://schemas.openxmlformats.org/officeDocument/2006/relationships/hyperlink" Target="http://www.lagacetadealmeria.com/" TargetMode="External"/><Relationship Id="rId1991" Type="http://schemas.openxmlformats.org/officeDocument/2006/relationships/hyperlink" Target="http://www.astridportero.com/" TargetMode="External"/><Relationship Id="rId2628" Type="http://schemas.openxmlformats.org/officeDocument/2006/relationships/hyperlink" Target="http://pic.twitter.com/lOJUjNKAgn" TargetMode="External"/><Relationship Id="rId76" Type="http://schemas.openxmlformats.org/officeDocument/2006/relationships/hyperlink" Target="http://sosnatureza.wordpress.com/" TargetMode="External"/><Relationship Id="rId807" Type="http://schemas.openxmlformats.org/officeDocument/2006/relationships/hyperlink" Target="http://atres.red/z7jrv1" TargetMode="External"/><Relationship Id="rId1437" Type="http://schemas.openxmlformats.org/officeDocument/2006/relationships/hyperlink" Target="https://okdiario.com/cultura/2018/12/03/director-orquesta-pablo-heras-casado-condecorado-como-caballero-orden-artes-letras-francia-3424737?utm_term=Autofeed&amp;utm_campaign=ok&amp;utm_medium=Social&amp;utm_source=Twitter" TargetMode="External"/><Relationship Id="rId1644" Type="http://schemas.openxmlformats.org/officeDocument/2006/relationships/hyperlink" Target="http://www.elconfidencialdigital.com/" TargetMode="External"/><Relationship Id="rId1851" Type="http://schemas.openxmlformats.org/officeDocument/2006/relationships/hyperlink" Target="http://www.adabsurdum.es/" TargetMode="External"/><Relationship Id="rId1504" Type="http://schemas.openxmlformats.org/officeDocument/2006/relationships/hyperlink" Target="http://www.inmoavery.com/" TargetMode="External"/><Relationship Id="rId1711" Type="http://schemas.openxmlformats.org/officeDocument/2006/relationships/hyperlink" Target="https://pbs.twimg.com/media/Dthm05NWwAAPwhU.jpg" TargetMode="External"/><Relationship Id="rId1949" Type="http://schemas.openxmlformats.org/officeDocument/2006/relationships/hyperlink" Target="https://twitter.com/ppsanse/status/1069345622283698177" TargetMode="External"/><Relationship Id="rId292" Type="http://schemas.openxmlformats.org/officeDocument/2006/relationships/hyperlink" Target="https://www.elplural.com/politica/caja-b-partido-popular-congreso-diputados-comision-investigacion-villarejo-pablo-casado_207693102_amp" TargetMode="External"/><Relationship Id="rId1809" Type="http://schemas.openxmlformats.org/officeDocument/2006/relationships/hyperlink" Target="https://www.elmundo.es/espana/2018/12/03/5c05442321efa0cc3d8b46bc.html" TargetMode="External"/><Relationship Id="rId597" Type="http://schemas.openxmlformats.org/officeDocument/2006/relationships/hyperlink" Target="http://www.telemadrid.es/emision-en-directo-ondamadrid/" TargetMode="External"/><Relationship Id="rId2180" Type="http://schemas.openxmlformats.org/officeDocument/2006/relationships/hyperlink" Target="http://javiercasalc.blogspot.com.es/" TargetMode="External"/><Relationship Id="rId2278" Type="http://schemas.openxmlformats.org/officeDocument/2006/relationships/hyperlink" Target="http://pic.twitter.com/iyEYtgX5y2" TargetMode="External"/><Relationship Id="rId2485" Type="http://schemas.openxmlformats.org/officeDocument/2006/relationships/hyperlink" Target="http://josepmariallagostera.blogspot.com/" TargetMode="External"/><Relationship Id="rId152" Type="http://schemas.openxmlformats.org/officeDocument/2006/relationships/hyperlink" Target="http://instagram.com/pablocasado_14" TargetMode="External"/><Relationship Id="rId457" Type="http://schemas.openxmlformats.org/officeDocument/2006/relationships/hyperlink" Target="https://www.eldiario.es/_324580bb" TargetMode="External"/><Relationship Id="rId1087" Type="http://schemas.openxmlformats.org/officeDocument/2006/relationships/hyperlink" Target="http://epmundo.com/" TargetMode="External"/><Relationship Id="rId1294" Type="http://schemas.openxmlformats.org/officeDocument/2006/relationships/hyperlink" Target="https://pbs.twimg.com/media/Dtnz1I8X4AAxe01.jpg" TargetMode="External"/><Relationship Id="rId2040" Type="http://schemas.openxmlformats.org/officeDocument/2006/relationships/hyperlink" Target="http://www.cordoba24horas.com/" TargetMode="External"/><Relationship Id="rId2138" Type="http://schemas.openxmlformats.org/officeDocument/2006/relationships/hyperlink" Target="https://elpais.com/politica/2018/12/02/actualidad/1543762177_290615.html" TargetMode="External"/><Relationship Id="rId2692" Type="http://schemas.openxmlformats.org/officeDocument/2006/relationships/hyperlink" Target="https://www.eldiario.es/escolar/mentiras-Pablo-Casado-Gurtel-Irak_6_828777140.html" TargetMode="External"/><Relationship Id="rId664" Type="http://schemas.openxmlformats.org/officeDocument/2006/relationships/hyperlink" Target="https://pbs.twimg.com/media/DtumLyPU0AAc1jk.jpg" TargetMode="External"/><Relationship Id="rId871" Type="http://schemas.openxmlformats.org/officeDocument/2006/relationships/hyperlink" Target="https://www.larazon.es/espana/defender-la-constitucion-por-pablo-casado-FP20854122" TargetMode="External"/><Relationship Id="rId969" Type="http://schemas.openxmlformats.org/officeDocument/2006/relationships/hyperlink" Target="http://www.lavanguardia.com/" TargetMode="External"/><Relationship Id="rId1599" Type="http://schemas.openxmlformats.org/officeDocument/2006/relationships/hyperlink" Target="https://ift.tt/2Udo0kz" TargetMode="External"/><Relationship Id="rId2345" Type="http://schemas.openxmlformats.org/officeDocument/2006/relationships/hyperlink" Target="http://durandog.org/" TargetMode="External"/><Relationship Id="rId2552" Type="http://schemas.openxmlformats.org/officeDocument/2006/relationships/hyperlink" Target="https://www.elmundo.es/espana/2018/12/02/5c02dc68fc6c83e67a8b45a2.html" TargetMode="External"/><Relationship Id="rId317" Type="http://schemas.openxmlformats.org/officeDocument/2006/relationships/hyperlink" Target="http://mediterraneo.diario16.com/la-ignorancia-pablo-casado-no-sabe-una-republica/" TargetMode="External"/><Relationship Id="rId524" Type="http://schemas.openxmlformats.org/officeDocument/2006/relationships/hyperlink" Target="http://www.madrid.org/fp" TargetMode="External"/><Relationship Id="rId731" Type="http://schemas.openxmlformats.org/officeDocument/2006/relationships/hyperlink" Target="http://bit.ly/2EhsaTB" TargetMode="External"/><Relationship Id="rId1154" Type="http://schemas.openxmlformats.org/officeDocument/2006/relationships/hyperlink" Target="http://epmundo.com/2018/contundente-pablo-casado-defiende-la-inviolabilidad-del-rey/" TargetMode="External"/><Relationship Id="rId1361" Type="http://schemas.openxmlformats.org/officeDocument/2006/relationships/hyperlink" Target="https://www.mundiario.com/articulo/politica/pablo-casado-abre-puerta-negociar-abiertamente-vox/20181204205718139787.html" TargetMode="External"/><Relationship Id="rId1459" Type="http://schemas.openxmlformats.org/officeDocument/2006/relationships/hyperlink" Target="https://www.eldiario.es/_323ad3fa" TargetMode="External"/><Relationship Id="rId2205" Type="http://schemas.openxmlformats.org/officeDocument/2006/relationships/hyperlink" Target="https://www.linkedin.com/in/raquel-godos-de-la-puente-0030a735" TargetMode="External"/><Relationship Id="rId2412" Type="http://schemas.openxmlformats.org/officeDocument/2006/relationships/hyperlink" Target="http://www.trendinalia.com/twitter-trending-topics/spain/spain-181201.html" TargetMode="External"/><Relationship Id="rId98" Type="http://schemas.openxmlformats.org/officeDocument/2006/relationships/hyperlink" Target="http://mediterraneo.diario16.com/la-ignorancia-pablo-casado-no-sabe-una-republica/" TargetMode="External"/><Relationship Id="rId829" Type="http://schemas.openxmlformats.org/officeDocument/2006/relationships/hyperlink" Target="http://dlvr.it/Qsyhqg" TargetMode="External"/><Relationship Id="rId1014" Type="http://schemas.openxmlformats.org/officeDocument/2006/relationships/hyperlink" Target="http://epmundo.com/2018/contundente-pablo-casado-defiende-la-inviolabilidad-del-rey/" TargetMode="External"/><Relationship Id="rId1221" Type="http://schemas.openxmlformats.org/officeDocument/2006/relationships/hyperlink" Target="https://www.youtube.com/channel/UCY60GBj-H8SmayRG1UgDVWw" TargetMode="External"/><Relationship Id="rId1666" Type="http://schemas.openxmlformats.org/officeDocument/2006/relationships/hyperlink" Target="http://pasionxespa&#241;a.es/" TargetMode="External"/><Relationship Id="rId1873" Type="http://schemas.openxmlformats.org/officeDocument/2006/relationships/hyperlink" Target="https://www.elmundo.es/espana/2018/12/03/5c05442321efa0cc3d8b46bc.html" TargetMode="External"/><Relationship Id="rId2717" Type="http://schemas.openxmlformats.org/officeDocument/2006/relationships/hyperlink" Target="https://www.mundiario.com/seccion/galicia" TargetMode="External"/><Relationship Id="rId1319" Type="http://schemas.openxmlformats.org/officeDocument/2006/relationships/hyperlink" Target="http://youtu.be/NwaZzBTz_lM?a" TargetMode="External"/><Relationship Id="rId1526" Type="http://schemas.openxmlformats.org/officeDocument/2006/relationships/hyperlink" Target="https://www.antena3.com/noticias/espana/casado-se-abre-a-compartir-gobierno-con-vox-en-andalucia-video_201812045c067bbc0cf2d96fe2f77938.html" TargetMode="External"/><Relationship Id="rId1733" Type="http://schemas.openxmlformats.org/officeDocument/2006/relationships/hyperlink" Target="https://twitter.com/IAMLenaHeadey/status/822030077651255296?s=19" TargetMode="External"/><Relationship Id="rId1940" Type="http://schemas.openxmlformats.org/officeDocument/2006/relationships/hyperlink" Target="http://www.eldiario.es/" TargetMode="External"/><Relationship Id="rId25" Type="http://schemas.openxmlformats.org/officeDocument/2006/relationships/hyperlink" Target="http://www.aragonradio.es/" TargetMode="External"/><Relationship Id="rId1800" Type="http://schemas.openxmlformats.org/officeDocument/2006/relationships/hyperlink" Target="http://www.multiforo.eu/Colaboraciones/2018/TratadoDeUtrechDos.htm" TargetMode="External"/><Relationship Id="rId174" Type="http://schemas.openxmlformats.org/officeDocument/2006/relationships/hyperlink" Target="https://www.huffingtonpost.es/2018/12/07/el-dardo-de-bertin-osborne-a-gabriel-rufian-y-pablo-iglesias-espana-es-el-pais-con-mas-politicos-idiotas-por-metro-cuadrado_a_23611885/" TargetMode="External"/><Relationship Id="rId381" Type="http://schemas.openxmlformats.org/officeDocument/2006/relationships/hyperlink" Target="http://www.diario16.com/" TargetMode="External"/><Relationship Id="rId2062" Type="http://schemas.openxmlformats.org/officeDocument/2006/relationships/hyperlink" Target="http://www.musica-dei-donum.org/" TargetMode="External"/><Relationship Id="rId241" Type="http://schemas.openxmlformats.org/officeDocument/2006/relationships/hyperlink" Target="https://pbs.twimg.com/media/Dt0WDDSWwAIKA2t.jpg" TargetMode="External"/><Relationship Id="rId479" Type="http://schemas.openxmlformats.org/officeDocument/2006/relationships/hyperlink" Target="https://pbs.twimg.com/media/DtwnTUfW0AAoSoL.jpg" TargetMode="External"/><Relationship Id="rId686" Type="http://schemas.openxmlformats.org/officeDocument/2006/relationships/hyperlink" Target="http://www.rne.es/" TargetMode="External"/><Relationship Id="rId893" Type="http://schemas.openxmlformats.org/officeDocument/2006/relationships/hyperlink" Target="http://www.elmundo.es/" TargetMode="External"/><Relationship Id="rId2367" Type="http://schemas.openxmlformats.org/officeDocument/2006/relationships/hyperlink" Target="http://www.elmundo.es/espana.html" TargetMode="External"/><Relationship Id="rId2574" Type="http://schemas.openxmlformats.org/officeDocument/2006/relationships/hyperlink" Target="https://www.publico.es/tremending/2018/11/30/hoy-en-parecidos-razonables-pablo-casado-y-albert-rivera-se-visten-exactamente-igual-el-mismo-dia/" TargetMode="External"/><Relationship Id="rId2781" Type="http://schemas.openxmlformats.org/officeDocument/2006/relationships/hyperlink" Target="https://www.elmundo.es/espana/2018/12/01/5c01b033fc6c8300438b46f5.html" TargetMode="External"/><Relationship Id="rId339" Type="http://schemas.openxmlformats.org/officeDocument/2006/relationships/hyperlink" Target="http://verdeimagenta.blogspot.com/" TargetMode="External"/><Relationship Id="rId546" Type="http://schemas.openxmlformats.org/officeDocument/2006/relationships/hyperlink" Target="https://www.eldiario.es/_324581a7" TargetMode="External"/><Relationship Id="rId753" Type="http://schemas.openxmlformats.org/officeDocument/2006/relationships/hyperlink" Target="http://lrzn.es/mbk7h4" TargetMode="External"/><Relationship Id="rId1176" Type="http://schemas.openxmlformats.org/officeDocument/2006/relationships/hyperlink" Target="http://epmundo.com/2018/contundente-pablo-casado-defiende-la-inviolabilidad-del-rey/" TargetMode="External"/><Relationship Id="rId1383" Type="http://schemas.openxmlformats.org/officeDocument/2006/relationships/hyperlink" Target="https://www.granadahoy.com/_4ddd9e2a" TargetMode="External"/><Relationship Id="rId2227" Type="http://schemas.openxmlformats.org/officeDocument/2006/relationships/hyperlink" Target="https://pbs.twimg.com/media/DtcgbWnW0AMElSJ.jpg" TargetMode="External"/><Relationship Id="rId2434" Type="http://schemas.openxmlformats.org/officeDocument/2006/relationships/hyperlink" Target="https://www.facebook.com/AgorasEnLasPlazasasambleaabierta/" TargetMode="External"/><Relationship Id="rId101" Type="http://schemas.openxmlformats.org/officeDocument/2006/relationships/hyperlink" Target="https://www.laopiniondemurcia.es/comunidad/2018/12/07/lopez-miras-afirma-casado-viene/978782.html" TargetMode="External"/><Relationship Id="rId406" Type="http://schemas.openxmlformats.org/officeDocument/2006/relationships/hyperlink" Target="https://google.com/newsstand/s/CBIwoIvPkz4" TargetMode="External"/><Relationship Id="rId960" Type="http://schemas.openxmlformats.org/officeDocument/2006/relationships/hyperlink" Target="http://www.diariolirico.es/" TargetMode="External"/><Relationship Id="rId1036" Type="http://schemas.openxmlformats.org/officeDocument/2006/relationships/hyperlink" Target="http://eldiario.es/" TargetMode="External"/><Relationship Id="rId1243" Type="http://schemas.openxmlformats.org/officeDocument/2006/relationships/hyperlink" Target="http://www.jorgeleyh.wordpress.com/" TargetMode="External"/><Relationship Id="rId1590" Type="http://schemas.openxmlformats.org/officeDocument/2006/relationships/hyperlink" Target="https://ift.tt/2QsTB2P" TargetMode="External"/><Relationship Id="rId1688" Type="http://schemas.openxmlformats.org/officeDocument/2006/relationships/hyperlink" Target="http://theobjective.com/" TargetMode="External"/><Relationship Id="rId1895" Type="http://schemas.openxmlformats.org/officeDocument/2006/relationships/hyperlink" Target="https://pbs.twimg.com/media/DtfukJMU0AAX7Yt.jpg" TargetMode="External"/><Relationship Id="rId2641" Type="http://schemas.openxmlformats.org/officeDocument/2006/relationships/hyperlink" Target="https://www.instagram.com/laureanodebat" TargetMode="External"/><Relationship Id="rId2739" Type="http://schemas.openxmlformats.org/officeDocument/2006/relationships/hyperlink" Target="http://t52m.blogspot.com.es/" TargetMode="External"/><Relationship Id="rId613" Type="http://schemas.openxmlformats.org/officeDocument/2006/relationships/hyperlink" Target="https://www.facebook.com/lacorruptecapublica/?ref=settings" TargetMode="External"/><Relationship Id="rId820" Type="http://schemas.openxmlformats.org/officeDocument/2006/relationships/hyperlink" Target="http://eldiario.es/" TargetMode="External"/><Relationship Id="rId918" Type="http://schemas.openxmlformats.org/officeDocument/2006/relationships/hyperlink" Target="https://www.libertaddigital.com/espana/politica/2018-12-06/javier-fernandez-lasquetty-nuevo-jefe-de-gabinete-de-casado-1276629457/" TargetMode="External"/><Relationship Id="rId1450" Type="http://schemas.openxmlformats.org/officeDocument/2006/relationships/hyperlink" Target="http://epmundo.com/2018/contundente-pablo-casado-defiende-la-inviolabilidad-del-rey/?utm_source=twitter&amp;utm_medium=social&amp;utm_campaign=ReviveOldPost" TargetMode="External"/><Relationship Id="rId1548" Type="http://schemas.openxmlformats.org/officeDocument/2006/relationships/hyperlink" Target="https://pbs.twimg.com/media/Dtk_xsDV4AEjrjH.jpg" TargetMode="External"/><Relationship Id="rId1755" Type="http://schemas.openxmlformats.org/officeDocument/2006/relationships/hyperlink" Target="http://rosamariaartal.wordpress.com/" TargetMode="External"/><Relationship Id="rId2501" Type="http://schemas.openxmlformats.org/officeDocument/2006/relationships/hyperlink" Target="https://www.elmundo.es/espana/2018/12/02/5c02dc68fc6c83e67a8b45a2.html" TargetMode="External"/><Relationship Id="rId1103" Type="http://schemas.openxmlformats.org/officeDocument/2006/relationships/hyperlink" Target="http://epmundo.com/2018/contundente-pablo-casado-defiende-la-inviolabilidad-del-rey/" TargetMode="External"/><Relationship Id="rId1310" Type="http://schemas.openxmlformats.org/officeDocument/2006/relationships/hyperlink" Target="http://epmundo.com/2018/contundente-pablo-casado-defiende-la-inviolabilidad-del-rey/" TargetMode="External"/><Relationship Id="rId1408" Type="http://schemas.openxmlformats.org/officeDocument/2006/relationships/hyperlink" Target="http://goo.gl/X7sgxF" TargetMode="External"/><Relationship Id="rId1962" Type="http://schemas.openxmlformats.org/officeDocument/2006/relationships/hyperlink" Target="http://instagram.com/berlustinho" TargetMode="External"/><Relationship Id="rId47" Type="http://schemas.openxmlformats.org/officeDocument/2006/relationships/hyperlink" Target="http://webtv.7tvregiondemurcia.es/" TargetMode="External"/><Relationship Id="rId1615" Type="http://schemas.openxmlformats.org/officeDocument/2006/relationships/hyperlink" Target="https://pbs.twimg.com/media/DtkR7FpWoAEDWKR.jpg" TargetMode="External"/><Relationship Id="rId1822" Type="http://schemas.openxmlformats.org/officeDocument/2006/relationships/hyperlink" Target="http://www.elmundo.es/social/usuarios/hector_sanjuan/" TargetMode="External"/><Relationship Id="rId196" Type="http://schemas.openxmlformats.org/officeDocument/2006/relationships/hyperlink" Target="http://www.huffingtonpost.es/" TargetMode="External"/><Relationship Id="rId2084" Type="http://schemas.openxmlformats.org/officeDocument/2006/relationships/hyperlink" Target="https://www.flickr.com/photos/138956101@N06" TargetMode="External"/><Relationship Id="rId2291" Type="http://schemas.openxmlformats.org/officeDocument/2006/relationships/hyperlink" Target="https://www.jotdown.es/2018/02/murcia-una-escena-teatral-con-denominacion-de-origen/" TargetMode="External"/><Relationship Id="rId263" Type="http://schemas.openxmlformats.org/officeDocument/2006/relationships/hyperlink" Target="https://www.elplural.com/politica/caja-b-partido-popular-congreso-diputados-comision-investigacion-villarejo-pablo-casado_207693102" TargetMode="External"/><Relationship Id="rId470" Type="http://schemas.openxmlformats.org/officeDocument/2006/relationships/hyperlink" Target="https://bit.ly/2RcfHD6" TargetMode="External"/><Relationship Id="rId2151" Type="http://schemas.openxmlformats.org/officeDocument/2006/relationships/hyperlink" Target="http://dlvr.it/Qsg1vB" TargetMode="External"/><Relationship Id="rId2389" Type="http://schemas.openxmlformats.org/officeDocument/2006/relationships/hyperlink" Target="https://medium.com/@mrgifted" TargetMode="External"/><Relationship Id="rId2596" Type="http://schemas.openxmlformats.org/officeDocument/2006/relationships/hyperlink" Target="https://pbs.twimg.com/media/DtQbYUEWwAANknz.jpg" TargetMode="External"/><Relationship Id="rId123" Type="http://schemas.openxmlformats.org/officeDocument/2006/relationships/hyperlink" Target="https://www.elplural.com/politica/caja-b-partido-popular-congreso-diputados-comision-investigacion-villarejo-pablo-casado_207693102" TargetMode="External"/><Relationship Id="rId330" Type="http://schemas.openxmlformats.org/officeDocument/2006/relationships/hyperlink" Target="http://www.pp.es/ruben-moreno-palanques" TargetMode="External"/><Relationship Id="rId568" Type="http://schemas.openxmlformats.org/officeDocument/2006/relationships/hyperlink" Target="https://www.20minutos.es/noticia/3510534/0/pablo-casado-recula-vox-andalucia-pactos-cs/?utm_source=twitter.com&amp;utm_medium=socialshare&amp;utm_campaign=desktop" TargetMode="External"/><Relationship Id="rId775" Type="http://schemas.openxmlformats.org/officeDocument/2006/relationships/hyperlink" Target="https://pbs.twimg.com/media/Dtu5UoXUcAA8cCF.jpg" TargetMode="External"/><Relationship Id="rId982" Type="http://schemas.openxmlformats.org/officeDocument/2006/relationships/hyperlink" Target="https://twitter.com/cai_nyabel/status/1070047800359088128" TargetMode="External"/><Relationship Id="rId1198" Type="http://schemas.openxmlformats.org/officeDocument/2006/relationships/hyperlink" Target="http://epmundo.com/2018/contundente-pablo-casado-defiende-la-inviolabilidad-del-rey/" TargetMode="External"/><Relationship Id="rId2011" Type="http://schemas.openxmlformats.org/officeDocument/2006/relationships/hyperlink" Target="https://pbs.twimg.com/media/Dte54IkWsAEDau8.jpg" TargetMode="External"/><Relationship Id="rId2249" Type="http://schemas.openxmlformats.org/officeDocument/2006/relationships/hyperlink" Target="http://andet.org/" TargetMode="External"/><Relationship Id="rId2456" Type="http://schemas.openxmlformats.org/officeDocument/2006/relationships/hyperlink" Target="https://www.eldiario.es/politica/Pablo-Casado-Nuevas-Generaciones-PP_0_797220880.html" TargetMode="External"/><Relationship Id="rId2663" Type="http://schemas.openxmlformats.org/officeDocument/2006/relationships/hyperlink" Target="http://www.verbolsa.com/" TargetMode="External"/><Relationship Id="rId428" Type="http://schemas.openxmlformats.org/officeDocument/2006/relationships/hyperlink" Target="https://www.20minutos.es/noticia/3510534/0/pablo-casado-recula-vox-andalucia-pactos-cs/?utm_source=twitter.com&amp;utm_medium=socialshare&amp;utm_campaign=mobile_web" TargetMode="External"/><Relationship Id="rId635" Type="http://schemas.openxmlformats.org/officeDocument/2006/relationships/hyperlink" Target="https://ppvillena.com/2018/12/06/video-40-anos-de-constitucion-espanola/" TargetMode="External"/><Relationship Id="rId842" Type="http://schemas.openxmlformats.org/officeDocument/2006/relationships/hyperlink" Target="https://www.lasexta.com/noticias/nacional/el-dardo-de-celia-villalobos-a-pablo-casado-yo-creia-que-el-no-era-de-extrema-derecha-pero-si-lo-son-muchos-de-quienes-le-rodean_201807205b51c34f0cf21229bb4f84ff.html" TargetMode="External"/><Relationship Id="rId1058" Type="http://schemas.openxmlformats.org/officeDocument/2006/relationships/hyperlink" Target="https://pbs.twimg.com/media/DtqsX2CXgAEOtFh.jpg" TargetMode="External"/><Relationship Id="rId1265" Type="http://schemas.openxmlformats.org/officeDocument/2006/relationships/hyperlink" Target="https://itunes.apple.com/es/book/gettysburg-1863/id665369445?mt=11" TargetMode="External"/><Relationship Id="rId1472" Type="http://schemas.openxmlformats.org/officeDocument/2006/relationships/hyperlink" Target="http://epmundo.com/2018/contundente-pablo-casado-defiende-la-inviolabilidad-del-rey/?utm_source=twitter&amp;utm_medium=social&amp;utm_campaign=ReviveOldPost" TargetMode="External"/><Relationship Id="rId2109" Type="http://schemas.openxmlformats.org/officeDocument/2006/relationships/hyperlink" Target="https://www.facebook.com/Me-lo-dices-o-me-lo-cuentas-Te-lo-cuento-1209658342506537/" TargetMode="External"/><Relationship Id="rId2316" Type="http://schemas.openxmlformats.org/officeDocument/2006/relationships/hyperlink" Target="https://www.faseconsulting.es/" TargetMode="External"/><Relationship Id="rId2523" Type="http://schemas.openxmlformats.org/officeDocument/2006/relationships/hyperlink" Target="http://www.prnoticias.com/" TargetMode="External"/><Relationship Id="rId2730" Type="http://schemas.openxmlformats.org/officeDocument/2006/relationships/hyperlink" Target="https://goo.gl/bu8faa" TargetMode="External"/><Relationship Id="rId702" Type="http://schemas.openxmlformats.org/officeDocument/2006/relationships/hyperlink" Target="https://buff.ly/2SzzhtZ" TargetMode="External"/><Relationship Id="rId1125" Type="http://schemas.openxmlformats.org/officeDocument/2006/relationships/hyperlink" Target="http://es.linkedin.com/in/maricarmenarranztarin" TargetMode="External"/><Relationship Id="rId1332" Type="http://schemas.openxmlformats.org/officeDocument/2006/relationships/hyperlink" Target="https://pbs.twimg.com/media/Dtm-H0wWsAEN3Y6.jpg" TargetMode="External"/><Relationship Id="rId1777" Type="http://schemas.openxmlformats.org/officeDocument/2006/relationships/hyperlink" Target="https://www.elplural.com/politica/pablo-casado-debe-gobernar-la-lista-mas-votada-porque-los-ciudadanos-deciden-con-su-voto_207439102" TargetMode="External"/><Relationship Id="rId1984" Type="http://schemas.openxmlformats.org/officeDocument/2006/relationships/hyperlink" Target="http://veoinfo.com/" TargetMode="External"/><Relationship Id="rId69" Type="http://schemas.openxmlformats.org/officeDocument/2006/relationships/hyperlink" Target="https://www.elplural.com/politica/caja-b-partido-popular-congreso-diputados-comision-investigacion-villarejo-pablo-casado_207693102" TargetMode="External"/><Relationship Id="rId1637" Type="http://schemas.openxmlformats.org/officeDocument/2006/relationships/hyperlink" Target="https://twitter.com/rosamariaartal/status/1069686510243512320" TargetMode="External"/><Relationship Id="rId1844" Type="http://schemas.openxmlformats.org/officeDocument/2006/relationships/hyperlink" Target="http://www.lacerca.com/" TargetMode="External"/><Relationship Id="rId1704" Type="http://schemas.openxmlformats.org/officeDocument/2006/relationships/hyperlink" Target="https://www.vozpopuli.com/altavoz/cultura/Pablo-Heras-Casado-supremas-directa-visceral_0_1135386932.html" TargetMode="External"/><Relationship Id="rId285" Type="http://schemas.openxmlformats.org/officeDocument/2006/relationships/hyperlink" Target="https://twitter.com/vox_es/status/1071011359108816897" TargetMode="External"/><Relationship Id="rId1911" Type="http://schemas.openxmlformats.org/officeDocument/2006/relationships/hyperlink" Target="https://itunes.apple.com/es/book/gettysburg-1863/id665369445?mt=11" TargetMode="External"/><Relationship Id="rId492" Type="http://schemas.openxmlformats.org/officeDocument/2006/relationships/hyperlink" Target="https://twitter.com/manuel_llamas/status/1070726907401039872" TargetMode="External"/><Relationship Id="rId797" Type="http://schemas.openxmlformats.org/officeDocument/2006/relationships/hyperlink" Target="https://pbs.twimg.com/media/Dtuxqh-XcAAcoks.jpg" TargetMode="External"/><Relationship Id="rId2173" Type="http://schemas.openxmlformats.org/officeDocument/2006/relationships/hyperlink" Target="https://medium.com/@ibnussabel" TargetMode="External"/><Relationship Id="rId2380" Type="http://schemas.openxmlformats.org/officeDocument/2006/relationships/hyperlink" Target="http://ow.ly/GCrX30mPOtX" TargetMode="External"/><Relationship Id="rId2478" Type="http://schemas.openxmlformats.org/officeDocument/2006/relationships/hyperlink" Target="https://pbs.twimg.com/media/Dta00eQXcAEjseo.jpg" TargetMode="External"/><Relationship Id="rId145" Type="http://schemas.openxmlformats.org/officeDocument/2006/relationships/hyperlink" Target="https://www.elplural.com/politica/caja-b-partido-popular-congreso-diputados-comision-investigacion-villarejo-pablo-casado_207693102" TargetMode="External"/><Relationship Id="rId352" Type="http://schemas.openxmlformats.org/officeDocument/2006/relationships/hyperlink" Target="https://www.elconfidencialdigital.com/" TargetMode="External"/><Relationship Id="rId1287" Type="http://schemas.openxmlformats.org/officeDocument/2006/relationships/hyperlink" Target="http://epmundo.com/2018/contundente-pablo-casado-defiende-la-inviolabilidad-del-rey/?utm_source=twitter&amp;utm_medium=social&amp;utm_campaign=ReviveOldPost" TargetMode="External"/><Relationship Id="rId2033" Type="http://schemas.openxmlformats.org/officeDocument/2006/relationships/hyperlink" Target="https://www.antena3.com/noticias/espana/pablo-casado-primera-piedra-pedro-sanchez-fracaso-historico-video_201812025c045f3f0cf2d96fe2f52295.html" TargetMode="External"/><Relationship Id="rId2240" Type="http://schemas.openxmlformats.org/officeDocument/2006/relationships/hyperlink" Target="http://madayteatro.blogspot.com.es/" TargetMode="External"/><Relationship Id="rId2685" Type="http://schemas.openxmlformats.org/officeDocument/2006/relationships/hyperlink" Target="https://twitter.com/ciruela_negra/status/1068797976829747200" TargetMode="External"/><Relationship Id="rId212" Type="http://schemas.openxmlformats.org/officeDocument/2006/relationships/hyperlink" Target="https://www.huffingtonpost.es/2018/12/07/el-dardo-de-bertin-osborne-a-gabriel-rufian-y-pablo-iglesias-espana-es-el-pais-con-mas-politicos-idiotas-por-metro-cuadrado_a_23611885/" TargetMode="External"/><Relationship Id="rId657" Type="http://schemas.openxmlformats.org/officeDocument/2006/relationships/hyperlink" Target="https://www.libertaddigital.com/espana/politica/2018-12-06/javier-fernandez-lasquetty-nuevo-jefe-de-gabinete-de-casado-1276629457/" TargetMode="External"/><Relationship Id="rId864" Type="http://schemas.openxmlformats.org/officeDocument/2006/relationships/hyperlink" Target="https://pbs.twimg.com/media/Dtugyf2W0AAFxda.jpg" TargetMode="External"/><Relationship Id="rId1494" Type="http://schemas.openxmlformats.org/officeDocument/2006/relationships/hyperlink" Target="https://twitter.com/cunadometro/status/1069941071218728960" TargetMode="External"/><Relationship Id="rId1799" Type="http://schemas.openxmlformats.org/officeDocument/2006/relationships/hyperlink" Target="http://www.multiforo.eu/" TargetMode="External"/><Relationship Id="rId2100" Type="http://schemas.openxmlformats.org/officeDocument/2006/relationships/hyperlink" Target="http://www.zapper.news/" TargetMode="External"/><Relationship Id="rId2338" Type="http://schemas.openxmlformats.org/officeDocument/2006/relationships/hyperlink" Target="https://www.farodevigo.es/espana/2018/11/29/casado-evita-censurar-vox-criticar/2007667.html" TargetMode="External"/><Relationship Id="rId2545" Type="http://schemas.openxmlformats.org/officeDocument/2006/relationships/hyperlink" Target="https://desdelasmusaranas.wordpress.com/" TargetMode="External"/><Relationship Id="rId2752" Type="http://schemas.openxmlformats.org/officeDocument/2006/relationships/hyperlink" Target="https://ctxt.es/es/20181129/Firmas/23175/Pablo-Casado-inmigraci%C3%B3n-Gerardo-Tec%C3%A9-buenos-modales.htm" TargetMode="External"/><Relationship Id="rId517" Type="http://schemas.openxmlformats.org/officeDocument/2006/relationships/hyperlink" Target="https://blogs.publico.es/strambotic/2018/12/frases-pablo-casado/" TargetMode="External"/><Relationship Id="rId724" Type="http://schemas.openxmlformats.org/officeDocument/2006/relationships/hyperlink" Target="https://blogs.publico.es/strambotic/2018/12/frases-pablo-casado/" TargetMode="External"/><Relationship Id="rId931" Type="http://schemas.openxmlformats.org/officeDocument/2006/relationships/hyperlink" Target="http://www.libertaddigital.com/" TargetMode="External"/><Relationship Id="rId1147" Type="http://schemas.openxmlformats.org/officeDocument/2006/relationships/hyperlink" Target="https://pbs.twimg.com/media/Dtpfp10XQAAJ1DJ.jpg" TargetMode="External"/><Relationship Id="rId1354" Type="http://schemas.openxmlformats.org/officeDocument/2006/relationships/hyperlink" Target="https://www.eldiario.es/_323ad545" TargetMode="External"/><Relationship Id="rId1561" Type="http://schemas.openxmlformats.org/officeDocument/2006/relationships/hyperlink" Target="http://mvazurdo.wix.com/marianozurdo" TargetMode="External"/><Relationship Id="rId2405" Type="http://schemas.openxmlformats.org/officeDocument/2006/relationships/hyperlink" Target="https://telegram.me/ecorepublicano" TargetMode="External"/><Relationship Id="rId2612" Type="http://schemas.openxmlformats.org/officeDocument/2006/relationships/hyperlink" Target="https://pbs.twimg.com/media/DtZXh6zW0AA4khm.jpg" TargetMode="External"/><Relationship Id="rId60" Type="http://schemas.openxmlformats.org/officeDocument/2006/relationships/hyperlink" Target="http://www.efe.com/" TargetMode="External"/><Relationship Id="rId1007" Type="http://schemas.openxmlformats.org/officeDocument/2006/relationships/hyperlink" Target="https://pbs.twimg.com/media/DtriK73WsAgmXWB.jpg" TargetMode="External"/><Relationship Id="rId1214" Type="http://schemas.openxmlformats.org/officeDocument/2006/relationships/hyperlink" Target="https://www.elmundo.es/espana/2018/12/05/5c06eb2afc6c839b5f8b4622.html" TargetMode="External"/><Relationship Id="rId1421" Type="http://schemas.openxmlformats.org/officeDocument/2006/relationships/hyperlink" Target="http://www.eldebatedehoy.es/" TargetMode="External"/><Relationship Id="rId1659" Type="http://schemas.openxmlformats.org/officeDocument/2006/relationships/hyperlink" Target="https://www.elespanol.com/opinion/tribunas/20181128/pablo-casado-enormidad-espana/356584339_12.html" TargetMode="External"/><Relationship Id="rId1866" Type="http://schemas.openxmlformats.org/officeDocument/2006/relationships/hyperlink" Target="https://pbs.twimg.com/media/DtgNX4oX4AA5ltN.jpg" TargetMode="External"/><Relationship Id="rId1519" Type="http://schemas.openxmlformats.org/officeDocument/2006/relationships/hyperlink" Target="http://politica.elpais.com/" TargetMode="External"/><Relationship Id="rId1726" Type="http://schemas.openxmlformats.org/officeDocument/2006/relationships/hyperlink" Target="http://ow.ly/BqSa30mQq9R" TargetMode="External"/><Relationship Id="rId1933" Type="http://schemas.openxmlformats.org/officeDocument/2006/relationships/hyperlink" Target="https://www.youtube.com/c/alfilodelabrecha" TargetMode="External"/><Relationship Id="rId18" Type="http://schemas.openxmlformats.org/officeDocument/2006/relationships/hyperlink" Target="https://pbs.twimg.com/media/Dt58KvVWkAEPK07.jpg" TargetMode="External"/><Relationship Id="rId2195" Type="http://schemas.openxmlformats.org/officeDocument/2006/relationships/hyperlink" Target="http://pic.twitter.com/uzsQSqLIQU" TargetMode="External"/><Relationship Id="rId167" Type="http://schemas.openxmlformats.org/officeDocument/2006/relationships/hyperlink" Target="http://page.is/larevuelo53" TargetMode="External"/><Relationship Id="rId374" Type="http://schemas.openxmlformats.org/officeDocument/2006/relationships/hyperlink" Target="https://ernestogtg.wordpress.com/" TargetMode="External"/><Relationship Id="rId581" Type="http://schemas.openxmlformats.org/officeDocument/2006/relationships/hyperlink" Target="https://m.eldiario.es/_324580bb" TargetMode="External"/><Relationship Id="rId2055" Type="http://schemas.openxmlformats.org/officeDocument/2006/relationships/hyperlink" Target="https://youtu.be/gyYR7hyTdFI" TargetMode="External"/><Relationship Id="rId2262" Type="http://schemas.openxmlformats.org/officeDocument/2006/relationships/hyperlink" Target="https://www.youtube.com/watch?v=N5FNZoT-DMc" TargetMode="External"/><Relationship Id="rId234" Type="http://schemas.openxmlformats.org/officeDocument/2006/relationships/hyperlink" Target="http://www.ccoo.cat/" TargetMode="External"/><Relationship Id="rId679" Type="http://schemas.openxmlformats.org/officeDocument/2006/relationships/hyperlink" Target="https://www.eldiario.es/_324581a7" TargetMode="External"/><Relationship Id="rId886" Type="http://schemas.openxmlformats.org/officeDocument/2006/relationships/hyperlink" Target="http://www.cope.es/murcia" TargetMode="External"/><Relationship Id="rId2567" Type="http://schemas.openxmlformats.org/officeDocument/2006/relationships/hyperlink" Target="http://pic.twitter.com/sM3rAdy9Fp" TargetMode="External"/><Relationship Id="rId2774" Type="http://schemas.openxmlformats.org/officeDocument/2006/relationships/hyperlink" Target="https://pbs.twimg.com/media/DtRe9GSWkAAnyDw.jpg" TargetMode="External"/><Relationship Id="rId2" Type="http://schemas.openxmlformats.org/officeDocument/2006/relationships/hyperlink" Target="http://www.last.fm/user/Thethlumth" TargetMode="External"/><Relationship Id="rId441" Type="http://schemas.openxmlformats.org/officeDocument/2006/relationships/hyperlink" Target="http://ciudadania21.wordpress.com/" TargetMode="External"/><Relationship Id="rId539" Type="http://schemas.openxmlformats.org/officeDocument/2006/relationships/hyperlink" Target="https://blogs.publico.es/strambotic/2018/12/frases-pablo-casado/" TargetMode="External"/><Relationship Id="rId746" Type="http://schemas.openxmlformats.org/officeDocument/2006/relationships/hyperlink" Target="https://www.elsaltodiario.com/elecciones-autonomicas/andalucia-se-encamina-hacia-las-urnas-campana-e" TargetMode="External"/><Relationship Id="rId1071"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1169" Type="http://schemas.openxmlformats.org/officeDocument/2006/relationships/hyperlink" Target="http://bit.ly/EP_Venezuela" TargetMode="External"/><Relationship Id="rId1376" Type="http://schemas.openxmlformats.org/officeDocument/2006/relationships/hyperlink" Target="https://pbs.twimg.com/media/DtmWjS8XcAUt3tJ.jpg" TargetMode="External"/><Relationship Id="rId1583" Type="http://schemas.openxmlformats.org/officeDocument/2006/relationships/hyperlink" Target="http://www.elmundo.es/madrid" TargetMode="External"/><Relationship Id="rId2122" Type="http://schemas.openxmlformats.org/officeDocument/2006/relationships/hyperlink" Target="http://www.ppceuta.es/" TargetMode="External"/><Relationship Id="rId2427" Type="http://schemas.openxmlformats.org/officeDocument/2006/relationships/hyperlink" Target="https://pbs.twimg.com/media/DtbwcqyX4AY6aTJ.jpg" TargetMode="External"/><Relationship Id="rId301" Type="http://schemas.openxmlformats.org/officeDocument/2006/relationships/hyperlink" Target="https://pbs.twimg.com/media/Dt0J-RFX4AELh-K.jpg" TargetMode="External"/><Relationship Id="rId953" Type="http://schemas.openxmlformats.org/officeDocument/2006/relationships/hyperlink" Target="https://www.libertaddigital.com/espana/politica/2018-12-06/javier-fernandez-lasquetty-nuevo-jefe-de-gabinete-de-casado-1276629457/" TargetMode="External"/><Relationship Id="rId1029" Type="http://schemas.openxmlformats.org/officeDocument/2006/relationships/hyperlink" Target="https://www.instagram.com/la_historia_es_meme/" TargetMode="External"/><Relationship Id="rId1236" Type="http://schemas.openxmlformats.org/officeDocument/2006/relationships/hyperlink" Target="https://www.elmundo.es/espana/2018/12/05/5c06eb2afc6c839b5f8b4622.html" TargetMode="External"/><Relationship Id="rId1790" Type="http://schemas.openxmlformats.org/officeDocument/2006/relationships/hyperlink" Target="http://www.solstromenergia.com/" TargetMode="External"/><Relationship Id="rId1888" Type="http://schemas.openxmlformats.org/officeDocument/2006/relationships/hyperlink" Target="http://www.lextres.com/" TargetMode="External"/><Relationship Id="rId2634" Type="http://schemas.openxmlformats.org/officeDocument/2006/relationships/hyperlink" Target="https://pbs.twimg.com/media/DtYI8JwVAAATXQh.jpg" TargetMode="External"/><Relationship Id="rId82" Type="http://schemas.openxmlformats.org/officeDocument/2006/relationships/hyperlink" Target="https://ift.tt/2G1HEwO" TargetMode="External"/><Relationship Id="rId606" Type="http://schemas.openxmlformats.org/officeDocument/2006/relationships/hyperlink" Target="http://atres.red/n7oik1" TargetMode="External"/><Relationship Id="rId813" Type="http://schemas.openxmlformats.org/officeDocument/2006/relationships/hyperlink" Target="https://www.eldiario.es/politica/Casado-Lopez-Miras-Ballesta-presentacion_0_843066553.html" TargetMode="External"/><Relationship Id="rId1443" Type="http://schemas.openxmlformats.org/officeDocument/2006/relationships/hyperlink" Target="http://www.multiforo.eu/Colaboraciones/2018/TratadoDeUtrechDos.htm" TargetMode="External"/><Relationship Id="rId1650" Type="http://schemas.openxmlformats.org/officeDocument/2006/relationships/hyperlink" Target="http://www.luchaantignorancia.com/" TargetMode="External"/><Relationship Id="rId1748" Type="http://schemas.openxmlformats.org/officeDocument/2006/relationships/hyperlink" Target="https://twitter.com/pablocasado_/status/1069609333611274240?s=19" TargetMode="External"/><Relationship Id="rId2701" Type="http://schemas.openxmlformats.org/officeDocument/2006/relationships/hyperlink" Target="http://www.meneame.net/story/buenos-modales-pablo-casado" TargetMode="External"/><Relationship Id="rId1303" Type="http://schemas.openxmlformats.org/officeDocument/2006/relationships/hyperlink" Target="http://entretenimientobit.com/interes-general/pablo-casado-busca-candidatos-duros-en-el-pp-para-frenar-a-vox/?utm_campaign=twitter&amp;utm_medium=twitter&amp;utm_source=twitter" TargetMode="External"/><Relationship Id="rId1510" Type="http://schemas.openxmlformats.org/officeDocument/2006/relationships/hyperlink" Target="http://aureliogonzalezalonso.com/" TargetMode="External"/><Relationship Id="rId1955" Type="http://schemas.openxmlformats.org/officeDocument/2006/relationships/hyperlink" Target="https://www.facebook.com/ektor.tilla.5" TargetMode="External"/><Relationship Id="rId1608" Type="http://schemas.openxmlformats.org/officeDocument/2006/relationships/hyperlink" Target="https://pbs.twimg.com/media/DtkcXb8WkAAuq8k.jpg" TargetMode="External"/><Relationship Id="rId1815" Type="http://schemas.openxmlformats.org/officeDocument/2006/relationships/hyperlink" Target="https://www.elasterisco.es/falso-patriotismo/" TargetMode="External"/><Relationship Id="rId189" Type="http://schemas.openxmlformats.org/officeDocument/2006/relationships/hyperlink" Target="http://www.radiozaragoza.es/" TargetMode="External"/><Relationship Id="rId396" Type="http://schemas.openxmlformats.org/officeDocument/2006/relationships/hyperlink" Target="https://pbs.twimg.com/media/Dtx1z_LUcAA_5se.jpg" TargetMode="External"/><Relationship Id="rId2077" Type="http://schemas.openxmlformats.org/officeDocument/2006/relationships/hyperlink" Target="https://youtu.be/YyvrZlrtZgQ" TargetMode="External"/><Relationship Id="rId2284" Type="http://schemas.openxmlformats.org/officeDocument/2006/relationships/hyperlink" Target="https://pbs.twimg.com/media/DtcfoOAX4AYeYKN.jpg" TargetMode="External"/><Relationship Id="rId2491" Type="http://schemas.openxmlformats.org/officeDocument/2006/relationships/hyperlink" Target="http://pic.twitter.com/AZkYuCZfmG" TargetMode="External"/><Relationship Id="rId256" Type="http://schemas.openxmlformats.org/officeDocument/2006/relationships/hyperlink" Target="http://www.multiforo.eu/" TargetMode="External"/><Relationship Id="rId463" Type="http://schemas.openxmlformats.org/officeDocument/2006/relationships/hyperlink" Target="https://m.eldiario.es/324580bb_843415739/" TargetMode="External"/><Relationship Id="rId670" Type="http://schemas.openxmlformats.org/officeDocument/2006/relationships/hyperlink" Target="http://amplia-mente.com/" TargetMode="External"/><Relationship Id="rId1093" Type="http://schemas.openxmlformats.org/officeDocument/2006/relationships/hyperlink" Target="https://twiter.com/agrnineta" TargetMode="External"/><Relationship Id="rId2144" Type="http://schemas.openxmlformats.org/officeDocument/2006/relationships/hyperlink" Target="http://www.infoheaders.com/" TargetMode="External"/><Relationship Id="rId2351" Type="http://schemas.openxmlformats.org/officeDocument/2006/relationships/hyperlink" Target="http://pic.twitter.com/TFeKqPeeKz" TargetMode="External"/><Relationship Id="rId2589" Type="http://schemas.openxmlformats.org/officeDocument/2006/relationships/hyperlink" Target="https://www.elmundo.es/espana/2018/12/02/5c02dc68fc6c83e67a8b45a2.html" TargetMode="External"/><Relationship Id="rId2796" Type="http://schemas.openxmlformats.org/officeDocument/2006/relationships/hyperlink" Target="http://pic.twitter.com/4g2AW0vDD3" TargetMode="External"/><Relationship Id="rId116" Type="http://schemas.openxmlformats.org/officeDocument/2006/relationships/hyperlink" Target="https://www.lavanguardia.com/politica/20181207/453411977242/poder-judicial-reclama-estado-generalitat-plan-proteccion-jueces-cataluna.html" TargetMode="External"/><Relationship Id="rId323" Type="http://schemas.openxmlformats.org/officeDocument/2006/relationships/hyperlink" Target="https://www.elplural.com/politica/caja-b-partido-popular-congreso-diputados-comision-investigacion-villarejo-pablo-casado_207693102" TargetMode="External"/><Relationship Id="rId530" Type="http://schemas.openxmlformats.org/officeDocument/2006/relationships/hyperlink" Target="https://www.eldiario.es/_324580bb" TargetMode="External"/><Relationship Id="rId768" Type="http://schemas.openxmlformats.org/officeDocument/2006/relationships/hyperlink" Target="https://www.instagram.com/p/BrC7rnwhFwq/?utm_source=ig_twitter_share&amp;igshid=1c44phrn6c9ih" TargetMode="External"/><Relationship Id="rId975" Type="http://schemas.openxmlformats.org/officeDocument/2006/relationships/hyperlink" Target="https://www.laopiniondemalaga.es/andalucia/2018/12/05/pablo-casado-cierra-puerta-vox/1052280.html" TargetMode="External"/><Relationship Id="rId1160" Type="http://schemas.openxmlformats.org/officeDocument/2006/relationships/hyperlink" Target="https://www.elmundo.es/espana/2018/12/05/5c06eb2afc6c839b5f8b4622.html" TargetMode="External"/><Relationship Id="rId1398" Type="http://schemas.openxmlformats.org/officeDocument/2006/relationships/hyperlink" Target="https://pbs.twimg.com/media/DtmHUvcWsAE0TFT.jpg" TargetMode="External"/><Relationship Id="rId2004" Type="http://schemas.openxmlformats.org/officeDocument/2006/relationships/hyperlink" Target="https://pbs.twimg.com/media/DtQ4QMxXcAAWaN0.jpg" TargetMode="External"/><Relationship Id="rId2211" Type="http://schemas.openxmlformats.org/officeDocument/2006/relationships/hyperlink" Target="http://elcallejondelgato-carlos.blogspot.com.es/" TargetMode="External"/><Relationship Id="rId2449" Type="http://schemas.openxmlformats.org/officeDocument/2006/relationships/hyperlink" Target="http://instagram.com/danielmartinmagan" TargetMode="External"/><Relationship Id="rId2656" Type="http://schemas.openxmlformats.org/officeDocument/2006/relationships/hyperlink" Target="http://pic.twitter.com/GKqpjGJMFd" TargetMode="External"/><Relationship Id="rId628" Type="http://schemas.openxmlformats.org/officeDocument/2006/relationships/hyperlink" Target="https://pbs.twimg.com/media/DtvjNk4W4AA7gVr.jpg" TargetMode="External"/><Relationship Id="rId835" Type="http://schemas.openxmlformats.org/officeDocument/2006/relationships/hyperlink" Target="https://www.bmlosdolmenes.es/web/index.asp" TargetMode="External"/><Relationship Id="rId1258" Type="http://schemas.openxmlformats.org/officeDocument/2006/relationships/hyperlink" Target="http://epmundo.com/2018/contundente-pablo-casado-defiende-la-inviolabilidad-del-rey/" TargetMode="External"/><Relationship Id="rId1465" Type="http://schemas.openxmlformats.org/officeDocument/2006/relationships/hyperlink" Target="http://www.elplural.com/" TargetMode="External"/><Relationship Id="rId1672" Type="http://schemas.openxmlformats.org/officeDocument/2006/relationships/hyperlink" Target="http://instagram.com/lady_war" TargetMode="External"/><Relationship Id="rId2309" Type="http://schemas.openxmlformats.org/officeDocument/2006/relationships/hyperlink" Target="http://instagram.com/pablo_waze" TargetMode="External"/><Relationship Id="rId2516" Type="http://schemas.openxmlformats.org/officeDocument/2006/relationships/hyperlink" Target="https://www.elmundo.es/espana/2018/12/02/5c02dc68fc6c83e67a8b45a2.html" TargetMode="External"/><Relationship Id="rId2723" Type="http://schemas.openxmlformats.org/officeDocument/2006/relationships/hyperlink" Target="http://cadenaser.com/ser/2018/11/30/politica/1543613809_281010.html" TargetMode="External"/><Relationship Id="rId1020" Type="http://schemas.openxmlformats.org/officeDocument/2006/relationships/hyperlink" Target="http://epmundo.com/2018/contundente-pablo-casado-defiende-la-inviolabilidad-del-rey/" TargetMode="External"/><Relationship Id="rId1118" Type="http://schemas.openxmlformats.org/officeDocument/2006/relationships/hyperlink" Target="http://epmundo.com/" TargetMode="External"/><Relationship Id="rId1325" Type="http://schemas.openxmlformats.org/officeDocument/2006/relationships/hyperlink" Target="http://epmundo.com/2018/contundente-pablo-casado-defiende-la-inviolabilidad-del-rey/?utm_source=twitter&amp;utm_medium=social&amp;utm_campaign=ReviveOldPost" TargetMode="External"/><Relationship Id="rId1532" Type="http://schemas.openxmlformats.org/officeDocument/2006/relationships/hyperlink" Target="https://www.eldiario.es/escolar/Pablo-Casado-Poder-Judicial-Cosido_6_838576166.html" TargetMode="External"/><Relationship Id="rId1977" Type="http://schemas.openxmlformats.org/officeDocument/2006/relationships/hyperlink" Target="https://www.elmundo.es/andalucia/2018/12/02/5c042eda21efa030288b45c6.html" TargetMode="External"/><Relationship Id="rId902" Type="http://schemas.openxmlformats.org/officeDocument/2006/relationships/hyperlink" Target="http://www.madrid.org/fp" TargetMode="External"/><Relationship Id="rId1837" Type="http://schemas.openxmlformats.org/officeDocument/2006/relationships/hyperlink" Target="https://pbs.twimg.com/media/DtgZBSyXgAEqSrh.jpg" TargetMode="External"/><Relationship Id="rId31" Type="http://schemas.openxmlformats.org/officeDocument/2006/relationships/hyperlink" Target="http://20minutos.es/" TargetMode="External"/><Relationship Id="rId2099" Type="http://schemas.openxmlformats.org/officeDocument/2006/relationships/hyperlink" Target="https://pbs.twimg.com/media/Dtc1AqwXQAAr40N.jpg" TargetMode="External"/><Relationship Id="rId180" Type="http://schemas.openxmlformats.org/officeDocument/2006/relationships/hyperlink" Target="https://www.elplural.com/politica/caja-b-partido-popular-congreso-diputados-comision-investigacion-villarejo-pablo-casado_207693102" TargetMode="External"/><Relationship Id="rId278" Type="http://schemas.openxmlformats.org/officeDocument/2006/relationships/hyperlink" Target="http://jopassavaperaqui.wordpress.com/" TargetMode="External"/><Relationship Id="rId1904" Type="http://schemas.openxmlformats.org/officeDocument/2006/relationships/hyperlink" Target="https://www.elprogreso.es/blog/miguel-olarte-blog/soberbia/201812021514411347386.html" TargetMode="External"/><Relationship Id="rId485" Type="http://schemas.openxmlformats.org/officeDocument/2006/relationships/hyperlink" Target="http://www.holatravelalmonte.es/" TargetMode="External"/><Relationship Id="rId692" Type="http://schemas.openxmlformats.org/officeDocument/2006/relationships/hyperlink" Target="https://nuevarevolucion.es/poesia-critica-coplas-de-mingo-revulgo-o-de-como-pablo-casado-logro-doblegar-la-naturaleza/" TargetMode="External"/><Relationship Id="rId2166" Type="http://schemas.openxmlformats.org/officeDocument/2006/relationships/hyperlink" Target="http://pic.twitter.com/6SIzZg7GG7" TargetMode="External"/><Relationship Id="rId2373" Type="http://schemas.openxmlformats.org/officeDocument/2006/relationships/hyperlink" Target="http://maitego.com/" TargetMode="External"/><Relationship Id="rId2580" Type="http://schemas.openxmlformats.org/officeDocument/2006/relationships/hyperlink" Target="https://www.publico.es/tremending/2018/11/29/elecciones-andalucia-2018-el-video-de-pablo-casado-que-ejemplifica-a-la-perfeccion-que-es-el-populismo-punitivo/" TargetMode="External"/><Relationship Id="rId138" Type="http://schemas.openxmlformats.org/officeDocument/2006/relationships/hyperlink" Target="http://teatropos.blogspot.com/" TargetMode="External"/><Relationship Id="rId345" Type="http://schemas.openxmlformats.org/officeDocument/2006/relationships/hyperlink" Target="http://manolocoronel.blogspot.com.es/" TargetMode="External"/><Relationship Id="rId552" Type="http://schemas.openxmlformats.org/officeDocument/2006/relationships/hyperlink" Target="https://ift.tt/2rma9em" TargetMode="External"/><Relationship Id="rId997" Type="http://schemas.openxmlformats.org/officeDocument/2006/relationships/hyperlink" Target="https://www.lasexta.com/noticias/nacional/el-dardo-de-celia-villalobos-a-pablo-casado-yo-creia-que-el-no-era-de-extrema-derecha-pero-si-lo-son-muchos-de-quienes-le-rodean_201807205b51c34f0cf21229bb4f84ff.html" TargetMode="External"/><Relationship Id="rId1182" Type="http://schemas.openxmlformats.org/officeDocument/2006/relationships/hyperlink" Target="http://epmundo.com/2018/contundente-pablo-casado-defiende-la-inviolabilidad-del-rey/?utm_source=twitter&amp;utm_medium=social&amp;utm_campaign=ReviveOldPost" TargetMode="External"/><Relationship Id="rId2026" Type="http://schemas.openxmlformats.org/officeDocument/2006/relationships/hyperlink" Target="https://pbs.twimg.com/media/Dtcp56uWkAUGkL1.jpg" TargetMode="External"/><Relationship Id="rId2233" Type="http://schemas.openxmlformats.org/officeDocument/2006/relationships/hyperlink" Target="http://www.elmundo.es/" TargetMode="External"/><Relationship Id="rId2440" Type="http://schemas.openxmlformats.org/officeDocument/2006/relationships/hyperlink" Target="https://www.ecorepublicano.es/2018/11/apoteosico-zasca-pablo-casado-tras-su.html?m=1" TargetMode="External"/><Relationship Id="rId2678" Type="http://schemas.openxmlformats.org/officeDocument/2006/relationships/hyperlink" Target="http://siscogarcia.wordpress.com/" TargetMode="External"/><Relationship Id="rId205" Type="http://schemas.openxmlformats.org/officeDocument/2006/relationships/hyperlink" Target="https://www.elplural.com/politica/caja-b-partido-popular-congreso-diputados-comision-investigacion-villarejo-pablo-casado_207693102" TargetMode="External"/><Relationship Id="rId412" Type="http://schemas.openxmlformats.org/officeDocument/2006/relationships/hyperlink" Target="http://eldiario.es/" TargetMode="External"/><Relationship Id="rId857" Type="http://schemas.openxmlformats.org/officeDocument/2006/relationships/hyperlink" Target="https://pbs.twimg.com/media/Dtuj6fHU8AA0XlS.jpg" TargetMode="External"/><Relationship Id="rId1042" Type="http://schemas.openxmlformats.org/officeDocument/2006/relationships/hyperlink" Target="https://www.elplural.com/politica/cis-valoracion-lideres-pablo-iglesias-pablo-casado-pedro-sanchez_207613102" TargetMode="External"/><Relationship Id="rId1487" Type="http://schemas.openxmlformats.org/officeDocument/2006/relationships/hyperlink" Target="https://kaosenlared.net/tratado-de-utrecht-dos/" TargetMode="External"/><Relationship Id="rId1694" Type="http://schemas.openxmlformats.org/officeDocument/2006/relationships/hyperlink" Target="https://www.elconfidencial.com/espana/2018-12-03/elecciones-andalucia-pp-junta-casado-rivera-abascal-pactos_1683910/?utm_source=twitter&amp;utm_medium=social&amp;utm_campaign=BotoneraWeb" TargetMode="External"/><Relationship Id="rId2300" Type="http://schemas.openxmlformats.org/officeDocument/2006/relationships/hyperlink" Target="http://pic.twitter.com/tXGUUKDdGh" TargetMode="External"/><Relationship Id="rId2538" Type="http://schemas.openxmlformats.org/officeDocument/2006/relationships/hyperlink" Target="http://santacreu.redsat.net/pablo-casado-y-las-malas-companias-pablocasado_/" TargetMode="External"/><Relationship Id="rId2745" Type="http://schemas.openxmlformats.org/officeDocument/2006/relationships/hyperlink" Target="http://pic.twitter.com/sM3rAdy9Fp" TargetMode="External"/><Relationship Id="rId717" Type="http://schemas.openxmlformats.org/officeDocument/2006/relationships/hyperlink" Target="https://www.eldiario.es/politica/Casado-gobernar-Espana-coalicion-Ciudadanos_0_843415975.html" TargetMode="External"/><Relationship Id="rId924" Type="http://schemas.openxmlformats.org/officeDocument/2006/relationships/hyperlink" Target="https://www.libertaddigital.com/espana/politica/2018-12-06/javier-fernandez-lasquetty-nuevo-jefe-de-gabinete-de-casado-1276629457/" TargetMode="External"/><Relationship Id="rId1347" Type="http://schemas.openxmlformats.org/officeDocument/2006/relationships/hyperlink" Target="http://a.msn.com/01/es-es/BBQtLvD?ocid=st" TargetMode="External"/><Relationship Id="rId1554" Type="http://schemas.openxmlformats.org/officeDocument/2006/relationships/hyperlink" Target="http://www.facebook.com/profile.php?id=100000549097887&amp;ref=tn_tinyman" TargetMode="External"/><Relationship Id="rId1761" Type="http://schemas.openxmlformats.org/officeDocument/2006/relationships/hyperlink" Target="https://twitter.com/pablocasado_/status/988396811449786368" TargetMode="External"/><Relationship Id="rId1999" Type="http://schemas.openxmlformats.org/officeDocument/2006/relationships/hyperlink" Target="https://geopoliting.com/17RnJ" TargetMode="External"/><Relationship Id="rId2605" Type="http://schemas.openxmlformats.org/officeDocument/2006/relationships/hyperlink" Target="https://www.huffingtonpost.es/2018/11/22/pablo-casado-rechaza-el-whatsapp-sobre-los-jueces-y-cree-que-no-lo-escribio-cosido_a_23596700/" TargetMode="External"/><Relationship Id="rId53" Type="http://schemas.openxmlformats.org/officeDocument/2006/relationships/hyperlink" Target="https://pbs.twimg.com/media/Dt5mS02VsAEqLXe.jpg" TargetMode="External"/><Relationship Id="rId1207" Type="http://schemas.openxmlformats.org/officeDocument/2006/relationships/hyperlink" Target="http://liebanizate.com/author/hanskarlperez" TargetMode="External"/><Relationship Id="rId1414" Type="http://schemas.openxmlformats.org/officeDocument/2006/relationships/hyperlink" Target="https://twitter.com/TaboadaLucia/status/1069940857791504384" TargetMode="External"/><Relationship Id="rId1621" Type="http://schemas.openxmlformats.org/officeDocument/2006/relationships/hyperlink" Target="https://www.elmundo.es/espana/2018/12/04/5c05a39afc6c83c0748b4763.html" TargetMode="External"/><Relationship Id="rId1859" Type="http://schemas.openxmlformats.org/officeDocument/2006/relationships/hyperlink" Target="https://youtu.be/Xfc5MAG9JGo" TargetMode="External"/><Relationship Id="rId1719" Type="http://schemas.openxmlformats.org/officeDocument/2006/relationships/hyperlink" Target="https://pbs.twimg.com/media/DtfukJMU0AAX7Yt.jpg" TargetMode="External"/><Relationship Id="rId1926" Type="http://schemas.openxmlformats.org/officeDocument/2006/relationships/hyperlink" Target="https://pbs.twimg.com/media/DtfuaeeXoAA5Gqs.jpg" TargetMode="External"/><Relationship Id="rId2090" Type="http://schemas.openxmlformats.org/officeDocument/2006/relationships/hyperlink" Target="http://ver.20m.es/gl9ak1" TargetMode="External"/><Relationship Id="rId2188" Type="http://schemas.openxmlformats.org/officeDocument/2006/relationships/hyperlink" Target="http://www.ondacero.es/" TargetMode="External"/><Relationship Id="rId2395" Type="http://schemas.openxmlformats.org/officeDocument/2006/relationships/hyperlink" Target="https://bit.ly/2JsrmL5" TargetMode="External"/><Relationship Id="rId367" Type="http://schemas.openxmlformats.org/officeDocument/2006/relationships/hyperlink" Target="http://pic.twitter.com/xcfstQ1tcJ" TargetMode="External"/><Relationship Id="rId574" Type="http://schemas.openxmlformats.org/officeDocument/2006/relationships/hyperlink" Target="http://dlvr.it/Qt05Vz" TargetMode="External"/><Relationship Id="rId2048" Type="http://schemas.openxmlformats.org/officeDocument/2006/relationships/hyperlink" Target="http://pic.twitter.com/djauDqrn89" TargetMode="External"/><Relationship Id="rId2255" Type="http://schemas.openxmlformats.org/officeDocument/2006/relationships/hyperlink" Target="http://sieteparaseis.blogspot.com/" TargetMode="External"/><Relationship Id="rId227" Type="http://schemas.openxmlformats.org/officeDocument/2006/relationships/hyperlink" Target="https://www.elplural.com/politica/caja-b-partido-popular-congreso-diputados-comision-investigacion-villarejo-pablo-casado_207693102" TargetMode="External"/><Relationship Id="rId781" Type="http://schemas.openxmlformats.org/officeDocument/2006/relationships/hyperlink" Target="https://elpais.com/politica/2018/11/28/actualidad/1543422955_026078.html?id_externo_rsoc=TW_CC" TargetMode="External"/><Relationship Id="rId879" Type="http://schemas.openxmlformats.org/officeDocument/2006/relationships/hyperlink" Target="https://www.elplural.com/politica/vox-exige-a-pp-y-cs-que-andalucia-deje-de-ser-una-realidad-nacional_207636102" TargetMode="External"/><Relationship Id="rId2462" Type="http://schemas.openxmlformats.org/officeDocument/2006/relationships/hyperlink" Target="http://bettygalaica.blogspot.com/" TargetMode="External"/><Relationship Id="rId2767" Type="http://schemas.openxmlformats.org/officeDocument/2006/relationships/hyperlink" Target="http://cyberpotatoe.blogspot.com.es/" TargetMode="External"/><Relationship Id="rId434" Type="http://schemas.openxmlformats.org/officeDocument/2006/relationships/hyperlink" Target="https://pbs.twimg.com/media/DtxFK2LV4AA_cuS.jpg" TargetMode="External"/><Relationship Id="rId641" Type="http://schemas.openxmlformats.org/officeDocument/2006/relationships/hyperlink" Target="http://notifeed.net/" TargetMode="External"/><Relationship Id="rId739" Type="http://schemas.openxmlformats.org/officeDocument/2006/relationships/hyperlink" Target="http://pic.twitter.com/hrPR9Xnryk" TargetMode="External"/><Relationship Id="rId1064" Type="http://schemas.openxmlformats.org/officeDocument/2006/relationships/hyperlink" Target="http://www.formulatv.com/" TargetMode="External"/><Relationship Id="rId1271" Type="http://schemas.openxmlformats.org/officeDocument/2006/relationships/hyperlink" Target="https://www.elmundo.es/espana/2018/12/05/5c06eb2afc6c839b5f8b4622.html" TargetMode="External"/><Relationship Id="rId1369" Type="http://schemas.openxmlformats.org/officeDocument/2006/relationships/hyperlink" Target="http://www.elmundo.es/espana/2018/12/04/5c067532fc6c83df478b45a2.html" TargetMode="External"/><Relationship Id="rId1576" Type="http://schemas.openxmlformats.org/officeDocument/2006/relationships/hyperlink" Target="https://www.youtube.com/c/alfilodelabrecha" TargetMode="External"/><Relationship Id="rId2115" Type="http://schemas.openxmlformats.org/officeDocument/2006/relationships/hyperlink" Target="https://www.pscp.tv/w/btRf4zFQWEtkUkFKQk9xRWV8MWRqR1hPbUxXUHZLWsOy4IpWUYauMaPld7nPYDQ8uMUtD1KBujk1HFydj2HP?t=11s" TargetMode="External"/><Relationship Id="rId2322" Type="http://schemas.openxmlformats.org/officeDocument/2006/relationships/hyperlink" Target="http://www.trendinalia.com/twitter-trending-topics/spain/spain-181201.html" TargetMode="External"/><Relationship Id="rId501" Type="http://schemas.openxmlformats.org/officeDocument/2006/relationships/hyperlink" Target="https://www.larazon.es/espana/defender-la-constitucion-por-pablo-casado-FP20854122" TargetMode="External"/><Relationship Id="rId946" Type="http://schemas.openxmlformats.org/officeDocument/2006/relationships/hyperlink" Target="http://www.lextres.com/" TargetMode="External"/><Relationship Id="rId1131" Type="http://schemas.openxmlformats.org/officeDocument/2006/relationships/hyperlink" Target="http://www.sevilla24horas.com/" TargetMode="External"/><Relationship Id="rId1229" Type="http://schemas.openxmlformats.org/officeDocument/2006/relationships/hyperlink" Target="https://ninapenya.wordpress.com/" TargetMode="External"/><Relationship Id="rId1783" Type="http://schemas.openxmlformats.org/officeDocument/2006/relationships/hyperlink" Target="http://lagacetadealmeria.es/pablo-casado-exige-a-sanchez-que-convoque-elecciones-de-inmediato-tras-el-batacazo-electoral-del-psoe-en-andalucia/" TargetMode="External"/><Relationship Id="rId1990" Type="http://schemas.openxmlformats.org/officeDocument/2006/relationships/hyperlink" Target="http://dcain.etsin.upm.es/lfjcur.htm" TargetMode="External"/><Relationship Id="rId2627" Type="http://schemas.openxmlformats.org/officeDocument/2006/relationships/hyperlink" Target="https://twitter.com/PabloMM/status/1068981643199881223" TargetMode="External"/><Relationship Id="rId75" Type="http://schemas.openxmlformats.org/officeDocument/2006/relationships/hyperlink" Target="https://www.publico.es/politica/matanza-atocha-garcia-julia-asesino-falangista-convertido-narco-acabo-conductor-uber.html" TargetMode="External"/><Relationship Id="rId806" Type="http://schemas.openxmlformats.org/officeDocument/2006/relationships/hyperlink" Target="https://www.eldiario.es/_324580bb" TargetMode="External"/><Relationship Id="rId1436" Type="http://schemas.openxmlformats.org/officeDocument/2006/relationships/hyperlink" Target="http://www.antena3.com/noticias/" TargetMode="External"/><Relationship Id="rId1643" Type="http://schemas.openxmlformats.org/officeDocument/2006/relationships/hyperlink" Target="https://www.elconfidencialdigital.com/articulo/el_chivato/ojo-pablo-casado-tiene-suerte/20181203185902118920.html" TargetMode="External"/><Relationship Id="rId1850" Type="http://schemas.openxmlformats.org/officeDocument/2006/relationships/hyperlink" Target="https://www.elmundo.es/espana/2018/12/03/5c05442321efa0cc3d8b46bc.html" TargetMode="External"/><Relationship Id="rId1503" Type="http://schemas.openxmlformats.org/officeDocument/2006/relationships/hyperlink" Target="https://okdiario.com/espana/2018/12/04/casado-cree-que-podemos-lleva-anos-fuera-constitucion-ellos-nadie-dicho-nada-3427403" TargetMode="External"/><Relationship Id="rId1710" Type="http://schemas.openxmlformats.org/officeDocument/2006/relationships/hyperlink" Target="http://todalamusica.es/" TargetMode="External"/><Relationship Id="rId1948" Type="http://schemas.openxmlformats.org/officeDocument/2006/relationships/hyperlink" Target="http://www.abc.es/" TargetMode="External"/><Relationship Id="rId291" Type="http://schemas.openxmlformats.org/officeDocument/2006/relationships/hyperlink" Target="http://www.gppopular.es/diputados/jose-alberto-herrero-bono/" TargetMode="External"/><Relationship Id="rId1808" Type="http://schemas.openxmlformats.org/officeDocument/2006/relationships/hyperlink" Target="https://www.elmundo.es/espana/2018/12/03/5c05442321efa0cc3d8b46bc.html" TargetMode="External"/><Relationship Id="rId151" Type="http://schemas.openxmlformats.org/officeDocument/2006/relationships/hyperlink" Target="http://instagram.com/pablocasado_14" TargetMode="External"/><Relationship Id="rId389" Type="http://schemas.openxmlformats.org/officeDocument/2006/relationships/hyperlink" Target="https://www.lavanguardia.com/politica/20181206/453397937523/pablo-casado-vox-trump-le-pen-elecciones-andaluzas.html?facet=amp" TargetMode="External"/><Relationship Id="rId596" Type="http://schemas.openxmlformats.org/officeDocument/2006/relationships/hyperlink" Target="http://www.pedrocastro.es/" TargetMode="External"/><Relationship Id="rId2277" Type="http://schemas.openxmlformats.org/officeDocument/2006/relationships/hyperlink" Target="https://pbs.twimg.com/media/DtcfjhkWsAAHvwZ.jpg" TargetMode="External"/><Relationship Id="rId2484" Type="http://schemas.openxmlformats.org/officeDocument/2006/relationships/hyperlink" Target="http://cadenaser.com/ser/2018/11/30/politica/1543613809_281010.html?ssm=tw" TargetMode="External"/><Relationship Id="rId2691" Type="http://schemas.openxmlformats.org/officeDocument/2006/relationships/hyperlink" Target="http://pic.twitter.com/cZ9ULQwnfU" TargetMode="External"/><Relationship Id="rId249" Type="http://schemas.openxmlformats.org/officeDocument/2006/relationships/hyperlink" Target="http://mediterraneo.diario16.com/la-ignorancia-pablo-casado-no-sabe-una-republica/" TargetMode="External"/><Relationship Id="rId456" Type="http://schemas.openxmlformats.org/officeDocument/2006/relationships/hyperlink" Target="https://www.elmundo.es/espana/2018/12/06/5c093b02fc6c83177e8b456f.html" TargetMode="External"/><Relationship Id="rId663" Type="http://schemas.openxmlformats.org/officeDocument/2006/relationships/hyperlink" Target="https://twitter.com/PPopular/status/1070632065165488134" TargetMode="External"/><Relationship Id="rId870" Type="http://schemas.openxmlformats.org/officeDocument/2006/relationships/hyperlink" Target="http://www.segnorasque.com/" TargetMode="External"/><Relationship Id="rId1086" Type="http://schemas.openxmlformats.org/officeDocument/2006/relationships/hyperlink" Target="https://pbs.twimg.com/media/DtqTfClXgAATZTP.jpg" TargetMode="External"/><Relationship Id="rId1293" Type="http://schemas.openxmlformats.org/officeDocument/2006/relationships/hyperlink" Target="http://epmundo.com/2018/contundente-pablo-casado-defiende-la-inviolabilidad-del-rey/" TargetMode="External"/><Relationship Id="rId2137" Type="http://schemas.openxmlformats.org/officeDocument/2006/relationships/hyperlink" Target="http://dld.bz/hgHRm" TargetMode="External"/><Relationship Id="rId2344" Type="http://schemas.openxmlformats.org/officeDocument/2006/relationships/hyperlink" Target="http://www.mauroentrialgo.com/" TargetMode="External"/><Relationship Id="rId2551" Type="http://schemas.openxmlformats.org/officeDocument/2006/relationships/hyperlink" Target="http://pionymusic.blogspot.com.es/" TargetMode="External"/><Relationship Id="rId2789" Type="http://schemas.openxmlformats.org/officeDocument/2006/relationships/hyperlink" Target="http://flavors.me/vsv" TargetMode="External"/><Relationship Id="rId109" Type="http://schemas.openxmlformats.org/officeDocument/2006/relationships/hyperlink" Target="https://www.elplural.com/politica/caja-b-partido-popular-congreso-diputados-comision-investigacion-villarejo-pablo-casado_207693102" TargetMode="External"/><Relationship Id="rId316" Type="http://schemas.openxmlformats.org/officeDocument/2006/relationships/hyperlink" Target="http://drafabianalemos.com/" TargetMode="External"/><Relationship Id="rId523" Type="http://schemas.openxmlformats.org/officeDocument/2006/relationships/hyperlink" Target="https://www.larazon.es/espana/defender-la-constitucion-por-pablo-casado-FP20854122" TargetMode="External"/><Relationship Id="rId968" Type="http://schemas.openxmlformats.org/officeDocument/2006/relationships/hyperlink" Target="https://www.lavanguardia.com/politica/20181206/453390318753/debate-pp-estrategia-vox-elecciones-andaluzas-pablo-casado.html?utm_source=twitter_lv&amp;utm_medium=social" TargetMode="External"/><Relationship Id="rId1153" Type="http://schemas.openxmlformats.org/officeDocument/2006/relationships/hyperlink" Target="http://pic.twitter.com/cOYPvt02Sz" TargetMode="External"/><Relationship Id="rId1598" Type="http://schemas.openxmlformats.org/officeDocument/2006/relationships/hyperlink" Target="http://www.lacerca.com/" TargetMode="External"/><Relationship Id="rId2204" Type="http://schemas.openxmlformats.org/officeDocument/2006/relationships/hyperlink" Target="https://pbs.twimg.com/media/DtcgwvlW0AADRZn.jpg" TargetMode="External"/><Relationship Id="rId2649" Type="http://schemas.openxmlformats.org/officeDocument/2006/relationships/hyperlink" Target="https://twitter.com/adelanteand/status/1068605225370562560" TargetMode="External"/><Relationship Id="rId97" Type="http://schemas.openxmlformats.org/officeDocument/2006/relationships/hyperlink" Target="https://okdiario.com/espana/2018/12/08/casado-marca-tactica-barones-discurso-nacional-tolerancia-cero-corrupcion-3423485" TargetMode="External"/><Relationship Id="rId730" Type="http://schemas.openxmlformats.org/officeDocument/2006/relationships/hyperlink" Target="https://www.eldiario.es/politica/Casado-Javier-Lasquetty-Aguirre-Gabinete_0_843415739.html" TargetMode="External"/><Relationship Id="rId828" Type="http://schemas.openxmlformats.org/officeDocument/2006/relationships/hyperlink" Target="http://pptorrelodones.com/" TargetMode="External"/><Relationship Id="rId1013" Type="http://schemas.openxmlformats.org/officeDocument/2006/relationships/hyperlink" Target="http://www.radiocordoba.es/" TargetMode="External"/><Relationship Id="rId1360" Type="http://schemas.openxmlformats.org/officeDocument/2006/relationships/hyperlink" Target="https://twitter.com/AndresBlancoRo3/status/1070054835431632896" TargetMode="External"/><Relationship Id="rId1458" Type="http://schemas.openxmlformats.org/officeDocument/2006/relationships/hyperlink" Target="https://www.diariodecadiz.es/_4ddd9e2a" TargetMode="External"/><Relationship Id="rId1665" Type="http://schemas.openxmlformats.org/officeDocument/2006/relationships/hyperlink" Target="https://youtu.be/Xfc5MAG9JGo" TargetMode="External"/><Relationship Id="rId1872" Type="http://schemas.openxmlformats.org/officeDocument/2006/relationships/hyperlink" Target="https://www.elmundo.es/espana/2018/12/03/5c05442321efa0cc3d8b46bc.html" TargetMode="External"/><Relationship Id="rId2411" Type="http://schemas.openxmlformats.org/officeDocument/2006/relationships/hyperlink" Target="http://pic.twitter.com/AZkYuCZfmG" TargetMode="External"/><Relationship Id="rId2509" Type="http://schemas.openxmlformats.org/officeDocument/2006/relationships/hyperlink" Target="http://mundiario.com/" TargetMode="External"/><Relationship Id="rId2716" Type="http://schemas.openxmlformats.org/officeDocument/2006/relationships/hyperlink" Target="https://www.mundiario.com/articulo/politica/pablo-casado-casado-critica-vox/20181129212656139246.html" TargetMode="External"/><Relationship Id="rId1220" Type="http://schemas.openxmlformats.org/officeDocument/2006/relationships/hyperlink" Target="https://www.eldiario.es/_323ad545" TargetMode="External"/><Relationship Id="rId1318" Type="http://schemas.openxmlformats.org/officeDocument/2006/relationships/hyperlink" Target="https://www.youtube.com/watch?v=9Hg8oSA_BmY&amp;feature=share" TargetMode="External"/><Relationship Id="rId1525" Type="http://schemas.openxmlformats.org/officeDocument/2006/relationships/hyperlink" Target="http://pic.twitter.com/hvUUTrC1tB" TargetMode="External"/><Relationship Id="rId1732" Type="http://schemas.openxmlformats.org/officeDocument/2006/relationships/hyperlink" Target="http://catalananalyst.blogspot.com.es/" TargetMode="External"/><Relationship Id="rId24" Type="http://schemas.openxmlformats.org/officeDocument/2006/relationships/hyperlink" Target="https://pbs.twimg.com/media/Dt54rIvX4AIk3Nk.jpg" TargetMode="External"/><Relationship Id="rId2299" Type="http://schemas.openxmlformats.org/officeDocument/2006/relationships/hyperlink" Target="https://www.youtube.com/channel/UC4F6Qj-4OOZHtEusuzucU_g" TargetMode="External"/><Relationship Id="rId173" Type="http://schemas.openxmlformats.org/officeDocument/2006/relationships/hyperlink" Target="https://www.eldiario.es/_324580bb" TargetMode="External"/><Relationship Id="rId380" Type="http://schemas.openxmlformats.org/officeDocument/2006/relationships/hyperlink" Target="http://mediterraneo.diario16.com/la-ignorancia-pablo-casado-no-sabe-una-republica/" TargetMode="External"/><Relationship Id="rId2061" Type="http://schemas.openxmlformats.org/officeDocument/2006/relationships/hyperlink" Target="https://www.lavanguardia.com/politica/20181202/453290949545/elecciones-andaluzas-pablo-casado-pedro-sanchez-elecciones.html?utm_campaign=botones_sociales_app&amp;utm_source=facebook&amp;utm_medium=social" TargetMode="External"/><Relationship Id="rId240" Type="http://schemas.openxmlformats.org/officeDocument/2006/relationships/hyperlink" Target="https://www.eldiario.es/politica/Gobierno-cuestiona-PP-Ciudadanos-Junta_0_843765967.html" TargetMode="External"/><Relationship Id="rId478" Type="http://schemas.openxmlformats.org/officeDocument/2006/relationships/hyperlink" Target="http://www.ondacero.es/emisoras/asturias" TargetMode="External"/><Relationship Id="rId685" Type="http://schemas.openxmlformats.org/officeDocument/2006/relationships/hyperlink" Target="https://pbs.twimg.com/media/DtvYyOwWwAA6hdY.jpg" TargetMode="External"/><Relationship Id="rId892" Type="http://schemas.openxmlformats.org/officeDocument/2006/relationships/hyperlink" Target="https://www.lavanguardia.com/politica/20181206/453390318753/debate-pp-estrategia-vox-elecciones-andaluzas-pablo-casado.html" TargetMode="External"/><Relationship Id="rId2159" Type="http://schemas.openxmlformats.org/officeDocument/2006/relationships/hyperlink" Target="http://ver.abc.es/00oqb1" TargetMode="External"/><Relationship Id="rId2366" Type="http://schemas.openxmlformats.org/officeDocument/2006/relationships/hyperlink" Target="https://www.elmundo.es/andalucia/2018/12/02/5c042eda21efa030288b45c6.html" TargetMode="External"/><Relationship Id="rId2573" Type="http://schemas.openxmlformats.org/officeDocument/2006/relationships/hyperlink" Target="http://es.linkedin.com/in/eduardocerezo" TargetMode="External"/><Relationship Id="rId2780" Type="http://schemas.openxmlformats.org/officeDocument/2006/relationships/hyperlink" Target="http://www.huffingtonpost.es/" TargetMode="External"/><Relationship Id="rId100" Type="http://schemas.openxmlformats.org/officeDocument/2006/relationships/hyperlink" Target="http://dailysketcher.blogspot.com/" TargetMode="External"/><Relationship Id="rId338" Type="http://schemas.openxmlformats.org/officeDocument/2006/relationships/hyperlink" Target="https://www.eldiario.es/politica/Casado-Javier-Lasquetty-Aguirre-Gabinete_0_843415739.html" TargetMode="External"/><Relationship Id="rId545" Type="http://schemas.openxmlformats.org/officeDocument/2006/relationships/hyperlink" Target="https://www.eldiario.es/_324580bb" TargetMode="External"/><Relationship Id="rId752" Type="http://schemas.openxmlformats.org/officeDocument/2006/relationships/hyperlink" Target="http://instagram.com/fco_cp/" TargetMode="External"/><Relationship Id="rId1175" Type="http://schemas.openxmlformats.org/officeDocument/2006/relationships/hyperlink" Target="https://www.elindependiente.com/politica/2018/12/05/pp-dispuesto-estudiar-la-peticion-vox-cerrar-canal-sur/?utm_campaign=not&amp;utm_source=not_web&amp;utm_medium=navegador" TargetMode="External"/><Relationship Id="rId1382" Type="http://schemas.openxmlformats.org/officeDocument/2006/relationships/hyperlink" Target="https://www.mundiario.com/articulo/politica/pablo-casado-albert-rivera-cambian-argumentos-despues-2-d/20181204002953139671.html" TargetMode="External"/><Relationship Id="rId2019" Type="http://schemas.openxmlformats.org/officeDocument/2006/relationships/hyperlink" Target="http://www.putopp.com/" TargetMode="External"/><Relationship Id="rId2226" Type="http://schemas.openxmlformats.org/officeDocument/2006/relationships/hyperlink" Target="https://elpais.com/politica/2018/07/31/actualidad/1532990868_915948.html" TargetMode="External"/><Relationship Id="rId2433" Type="http://schemas.openxmlformats.org/officeDocument/2006/relationships/hyperlink" Target="https://www.eldiario.es/escolar/Pablo-Casado-Poder-Judicial-Cosido_6_838576166.html" TargetMode="External"/><Relationship Id="rId2640" Type="http://schemas.openxmlformats.org/officeDocument/2006/relationships/hyperlink" Target="http://mysouthofnonorth.wordpress.com/" TargetMode="External"/><Relationship Id="rId405" Type="http://schemas.openxmlformats.org/officeDocument/2006/relationships/hyperlink" Target="https://google.com/newsstand/s/CBIwxNPtkz4" TargetMode="External"/><Relationship Id="rId612" Type="http://schemas.openxmlformats.org/officeDocument/2006/relationships/hyperlink" Target="https://www.eldiario.es/_324580bb" TargetMode="External"/><Relationship Id="rId1035" Type="http://schemas.openxmlformats.org/officeDocument/2006/relationships/hyperlink" Target="http://www.elcomercio.es/" TargetMode="External"/><Relationship Id="rId1242" Type="http://schemas.openxmlformats.org/officeDocument/2006/relationships/hyperlink" Target="https://www.laopiniondemalaga.es/opinion/2018/10/26/pablo-casado-da-golpe/1042537.html" TargetMode="External"/><Relationship Id="rId1687" Type="http://schemas.openxmlformats.org/officeDocument/2006/relationships/hyperlink" Target="http://bit.ly/2BMQaf4" TargetMode="External"/><Relationship Id="rId1894" Type="http://schemas.openxmlformats.org/officeDocument/2006/relationships/hyperlink" Target="https://www.elmundo.es/andalucia/2018/12/02/5c042eda21efa030288b45c6.html" TargetMode="External"/><Relationship Id="rId2500" Type="http://schemas.openxmlformats.org/officeDocument/2006/relationships/hyperlink" Target="https://ctxt.es/es/20181129/Firmas/23175/Pablo-Casado-inmigracin-Gerardo-Tec-buenos-modales.htm" TargetMode="External"/><Relationship Id="rId2738" Type="http://schemas.openxmlformats.org/officeDocument/2006/relationships/hyperlink" Target="http://smoda.elpais.com/" TargetMode="External"/><Relationship Id="rId917" Type="http://schemas.openxmlformats.org/officeDocument/2006/relationships/hyperlink" Target="https://elpais.com/politica/2018/11/28/actualidad/1543422955_026078.html?id_externo_rsoc=TW_CC" TargetMode="External"/><Relationship Id="rId1102" Type="http://schemas.openxmlformats.org/officeDocument/2006/relationships/hyperlink" Target="http://www.lne.es/" TargetMode="External"/><Relationship Id="rId1547" Type="http://schemas.openxmlformats.org/officeDocument/2006/relationships/hyperlink" Target="http://dlvr.it/Qsp6Mc" TargetMode="External"/><Relationship Id="rId1754" Type="http://schemas.openxmlformats.org/officeDocument/2006/relationships/hyperlink" Target="https://pbs.twimg.com/media/DthKNJfWoAEpNK8.jpg" TargetMode="External"/><Relationship Id="rId1961" Type="http://schemas.openxmlformats.org/officeDocument/2006/relationships/hyperlink" Target="http://pic.twitter.com/QmKJYZyeZk" TargetMode="External"/><Relationship Id="rId46" Type="http://schemas.openxmlformats.org/officeDocument/2006/relationships/hyperlink" Target="http://7tvregiondemurcia.es/pablo-casado-llega-a-murcia-con-una-promesa-para-los-regantes-murcianos/" TargetMode="External"/><Relationship Id="rId1407" Type="http://schemas.openxmlformats.org/officeDocument/2006/relationships/hyperlink" Target="https://pbs.twimg.com/media/DtmFCrbW0AE2aFP.jpg" TargetMode="External"/><Relationship Id="rId1614" Type="http://schemas.openxmlformats.org/officeDocument/2006/relationships/hyperlink" Target="https://pbs.twimg.com/media/DtkSddUXQAEHCAe.jpg" TargetMode="External"/><Relationship Id="rId1821" Type="http://schemas.openxmlformats.org/officeDocument/2006/relationships/hyperlink" Target="https://www.elmundo.es/espana/2018/12/03/5c05442321efa0cc3d8b46bc.html" TargetMode="External"/><Relationship Id="rId195" Type="http://schemas.openxmlformats.org/officeDocument/2006/relationships/hyperlink" Target="https://www.huffingtonpost.es/2018/12/07/el-dardo-de-bertin-osborne-a-gabriel-rufian-y-pablo-iglesias-espana-es-el-pais-con-mas-politicos-idiotas-por-metro-cuadrado_a_23611885/" TargetMode="External"/><Relationship Id="rId1919" Type="http://schemas.openxmlformats.org/officeDocument/2006/relationships/hyperlink" Target="https://pbs.twimg.com/media/DtfukJMU0AAX7Yt.jpg" TargetMode="External"/><Relationship Id="rId2083" Type="http://schemas.openxmlformats.org/officeDocument/2006/relationships/hyperlink" Target="http://pic.twitter.com/CqLTDPIa1S" TargetMode="External"/><Relationship Id="rId2290" Type="http://schemas.openxmlformats.org/officeDocument/2006/relationships/hyperlink" Target="https://www.youtube.com/MarcLesan" TargetMode="External"/><Relationship Id="rId2388" Type="http://schemas.openxmlformats.org/officeDocument/2006/relationships/hyperlink" Target="http://www.actualidadhumanitaria.com/" TargetMode="External"/><Relationship Id="rId2595" Type="http://schemas.openxmlformats.org/officeDocument/2006/relationships/hyperlink" Target="https://twitter.com/superlopezpeli/status/1068852213236158465" TargetMode="External"/><Relationship Id="rId262" Type="http://schemas.openxmlformats.org/officeDocument/2006/relationships/hyperlink" Target="http://mediterraneo.diario16.com/la-ignorancia-pablo-casado-no-sabe-una-republica/" TargetMode="External"/><Relationship Id="rId567" Type="http://schemas.openxmlformats.org/officeDocument/2006/relationships/hyperlink" Target="http://www.periodistadigital.com/" TargetMode="External"/><Relationship Id="rId1197" Type="http://schemas.openxmlformats.org/officeDocument/2006/relationships/hyperlink" Target="https://okdiario.com/autor/crissegui" TargetMode="External"/><Relationship Id="rId2150" Type="http://schemas.openxmlformats.org/officeDocument/2006/relationships/hyperlink" Target="https://www.facebook.com/Me-lo-dices-o-me-lo-cuentas-Te-lo-cuento-1209658342506537/" TargetMode="External"/><Relationship Id="rId2248" Type="http://schemas.openxmlformats.org/officeDocument/2006/relationships/hyperlink" Target="http://mirantpelforat.blogspot.com.es/" TargetMode="External"/><Relationship Id="rId122" Type="http://schemas.openxmlformats.org/officeDocument/2006/relationships/hyperlink" Target="https://m.eldiario.es/politica/Casado-Javier-Lasquetty-Aguirre-Gabinete_0_843415739.html" TargetMode="External"/><Relationship Id="rId774" Type="http://schemas.openxmlformats.org/officeDocument/2006/relationships/hyperlink" Target="http://dlvr.it/Qsyvxc" TargetMode="External"/><Relationship Id="rId981" Type="http://schemas.openxmlformats.org/officeDocument/2006/relationships/hyperlink" Target="http://www.convivenciaysolidaridad.blogspot.com/" TargetMode="External"/><Relationship Id="rId1057" Type="http://schemas.openxmlformats.org/officeDocument/2006/relationships/hyperlink" Target="http://epmundo.com/2018/contundente-pablo-casado-defiende-la-inviolabilidad-del-rey/" TargetMode="External"/><Relationship Id="rId2010" Type="http://schemas.openxmlformats.org/officeDocument/2006/relationships/hyperlink" Target="https://www.wattpad.com/user/Xiscthulhu" TargetMode="External"/><Relationship Id="rId2455" Type="http://schemas.openxmlformats.org/officeDocument/2006/relationships/hyperlink" Target="http://piensadistintoperopiensayconelcorazom.blogspot.com.es/" TargetMode="External"/><Relationship Id="rId2662" Type="http://schemas.openxmlformats.org/officeDocument/2006/relationships/hyperlink" Target="https://goo.gl/fb/yV22BL" TargetMode="External"/><Relationship Id="rId427" Type="http://schemas.openxmlformats.org/officeDocument/2006/relationships/hyperlink" Target="http://rtve.es/n/1849541" TargetMode="External"/><Relationship Id="rId634" Type="http://schemas.openxmlformats.org/officeDocument/2006/relationships/hyperlink" Target="https://www.eldiario.es/politica/Casado-gobernar-Espana-coalicion-Ciudadanos_0_843415975.html" TargetMode="External"/><Relationship Id="rId841" Type="http://schemas.openxmlformats.org/officeDocument/2006/relationships/hyperlink" Target="https://ift.tt/2zL8ROF" TargetMode="External"/><Relationship Id="rId1264" Type="http://schemas.openxmlformats.org/officeDocument/2006/relationships/hyperlink" Target="https://pbs.twimg.com/media/Dtohr9kVYAAI8DK.jpg" TargetMode="External"/><Relationship Id="rId1471" Type="http://schemas.openxmlformats.org/officeDocument/2006/relationships/hyperlink" Target="https://www.diariodesevilla.es/andalucia/Pablo-Casado-Gobierno-Juanma-Moreno_0_1306369578.html" TargetMode="External"/><Relationship Id="rId1569" Type="http://schemas.openxmlformats.org/officeDocument/2006/relationships/hyperlink" Target="https://www.diariodemallorca.es/cultura/" TargetMode="External"/><Relationship Id="rId2108" Type="http://schemas.openxmlformats.org/officeDocument/2006/relationships/hyperlink" Target="http://pic.twitter.com/QFahXHqtT8" TargetMode="External"/><Relationship Id="rId2315" Type="http://schemas.openxmlformats.org/officeDocument/2006/relationships/hyperlink" Target="http://www.internetisimo.com/" TargetMode="External"/><Relationship Id="rId2522" Type="http://schemas.openxmlformats.org/officeDocument/2006/relationships/hyperlink" Target="https://pbs.twimg.com/media/DtaQcJwWwAE0vvs.jpg" TargetMode="External"/><Relationship Id="rId701" Type="http://schemas.openxmlformats.org/officeDocument/2006/relationships/hyperlink" Target="http://blogs.diariovasco.com/eljukebox" TargetMode="External"/><Relationship Id="rId939" Type="http://schemas.openxmlformats.org/officeDocument/2006/relationships/hyperlink" Target="http://www.alt-liberal.es/" TargetMode="External"/><Relationship Id="rId1124" Type="http://schemas.openxmlformats.org/officeDocument/2006/relationships/hyperlink" Target="https://ift.tt/2BRkzsL" TargetMode="External"/><Relationship Id="rId1331" Type="http://schemas.openxmlformats.org/officeDocument/2006/relationships/hyperlink" Target="http://bit.ly/2BPnSQW" TargetMode="External"/><Relationship Id="rId1776" Type="http://schemas.openxmlformats.org/officeDocument/2006/relationships/hyperlink" Target="http://ask.fm/DonViggo2" TargetMode="External"/><Relationship Id="rId1983" Type="http://schemas.openxmlformats.org/officeDocument/2006/relationships/hyperlink" Target="https://pbs.twimg.com/media/DtfOZfCWsAANf23.jpg" TargetMode="External"/><Relationship Id="rId68" Type="http://schemas.openxmlformats.org/officeDocument/2006/relationships/hyperlink" Target="https://www.elplural.com/politica/caja-b-partido-popular-congreso-diputados-comision-investigacion-villarejo-pablo-casado_207693102" TargetMode="External"/><Relationship Id="rId1429" Type="http://schemas.openxmlformats.org/officeDocument/2006/relationships/hyperlink" Target="http://bit.ly/EP_EEUU" TargetMode="External"/><Relationship Id="rId1636" Type="http://schemas.openxmlformats.org/officeDocument/2006/relationships/hyperlink" Target="https://www.abc.es/espana/abci-casado-reforzado-y-cree-campana-freno-fuga-mayor-votos-201812040317_noticia.html" TargetMode="External"/><Relationship Id="rId1843" Type="http://schemas.openxmlformats.org/officeDocument/2006/relationships/hyperlink" Target="http://www.lacerca.com/noticias/espana/pp-casado-sanchez-elecciones-inmediato-electoral-psoe-andalucia-447751-1.html" TargetMode="External"/><Relationship Id="rId1703" Type="http://schemas.openxmlformats.org/officeDocument/2006/relationships/hyperlink" Target="https://twitter.com/Rafman32/status/1069545752651796480" TargetMode="External"/><Relationship Id="rId1910" Type="http://schemas.openxmlformats.org/officeDocument/2006/relationships/hyperlink" Target="https://pbs.twimg.com/media/Dtf0vU3UcAAbv-w.jpg" TargetMode="External"/><Relationship Id="rId284" Type="http://schemas.openxmlformats.org/officeDocument/2006/relationships/hyperlink" Target="https://www.eldiario.es/escolar/mentiras-Pablo-Casado-Gurtel-Irak_6_828777140.html" TargetMode="External"/><Relationship Id="rId491" Type="http://schemas.openxmlformats.org/officeDocument/2006/relationships/hyperlink" Target="https://www.lavanguardia.com/politica/20181206/453397937523/pablo-casado-vox-trump-le-pen-elecciones-andaluzas.html?utm_campaign=botones_sociales_app&amp;utm_source=twitter&amp;utm_medium=social" TargetMode="External"/><Relationship Id="rId2172" Type="http://schemas.openxmlformats.org/officeDocument/2006/relationships/hyperlink" Target="https://twitter.com/JosPastr/status/1069353322644148224" TargetMode="External"/><Relationship Id="rId144" Type="http://schemas.openxmlformats.org/officeDocument/2006/relationships/hyperlink" Target="https://www.elplural.com/politica/caja-b-partido-popular-congreso-diputados-comision-investigacion-villarejo-pablo-casado_207693102" TargetMode="External"/><Relationship Id="rId589" Type="http://schemas.openxmlformats.org/officeDocument/2006/relationships/hyperlink" Target="http://estrelladigital.es/" TargetMode="External"/><Relationship Id="rId796" Type="http://schemas.openxmlformats.org/officeDocument/2006/relationships/hyperlink" Target="http://cervatosopina.blogspot.com/" TargetMode="External"/><Relationship Id="rId2477" Type="http://schemas.openxmlformats.org/officeDocument/2006/relationships/hyperlink" Target="http://cadenaser.com/emisora/2018/11/30/radio_cordoba/1543603194_695608.html?ssm=fb&amp;fbclid=IwAR1UnWbHnAlYsQBQUzeFvvddh4X3o_rHeuB4TDM-9hQDdn3Um4qGZq714ow" TargetMode="External"/><Relationship Id="rId2684" Type="http://schemas.openxmlformats.org/officeDocument/2006/relationships/hyperlink" Target="http://bit.ly/2zDVy2z" TargetMode="External"/><Relationship Id="rId351" Type="http://schemas.openxmlformats.org/officeDocument/2006/relationships/hyperlink" Target="https://judicial.elconfidencialdigital.com/articulo/altos_tribunales/familiar-pablo-casado-llega-tsj-valenciano/20181204181329001862.html" TargetMode="External"/><Relationship Id="rId449" Type="http://schemas.openxmlformats.org/officeDocument/2006/relationships/hyperlink" Target="http://foros.foxinver.com/" TargetMode="External"/><Relationship Id="rId656" Type="http://schemas.openxmlformats.org/officeDocument/2006/relationships/hyperlink" Target="https://ift.tt/2RCf7iF" TargetMode="External"/><Relationship Id="rId863" Type="http://schemas.openxmlformats.org/officeDocument/2006/relationships/hyperlink" Target="https://blogs.publico.es/strambotic/2018/12/frases-pablo-casado/" TargetMode="External"/><Relationship Id="rId1079" Type="http://schemas.openxmlformats.org/officeDocument/2006/relationships/hyperlink" Target="https://pbs.twimg.com/media/DtqYGP-X4AAB_CH.jpg" TargetMode="External"/><Relationship Id="rId1286" Type="http://schemas.openxmlformats.org/officeDocument/2006/relationships/hyperlink" Target="https://pbs.twimg.com/media/DtoNAVqW4AAtVr_.jpg" TargetMode="External"/><Relationship Id="rId1493" Type="http://schemas.openxmlformats.org/officeDocument/2006/relationships/hyperlink" Target="https://twitter.com/Antiseductor/status/1069997589376966658" TargetMode="External"/><Relationship Id="rId2032" Type="http://schemas.openxmlformats.org/officeDocument/2006/relationships/hyperlink" Target="http://blogs.deia.com/bogandoporlared/" TargetMode="External"/><Relationship Id="rId2337" Type="http://schemas.openxmlformats.org/officeDocument/2006/relationships/hyperlink" Target="http://www.ppsevilla.com/" TargetMode="External"/><Relationship Id="rId2544" Type="http://schemas.openxmlformats.org/officeDocument/2006/relationships/hyperlink" Target="http://www.abcdesevilla.es/" TargetMode="External"/><Relationship Id="rId211" Type="http://schemas.openxmlformats.org/officeDocument/2006/relationships/hyperlink" Target="https://www.instagram.com/libertarioespanol/" TargetMode="External"/><Relationship Id="rId309" Type="http://schemas.openxmlformats.org/officeDocument/2006/relationships/hyperlink" Target="http://eldiario.es/" TargetMode="External"/><Relationship Id="rId516" Type="http://schemas.openxmlformats.org/officeDocument/2006/relationships/hyperlink" Target="https://m.eldiario.es/324580bb_843415739/" TargetMode="External"/><Relationship Id="rId1146" Type="http://schemas.openxmlformats.org/officeDocument/2006/relationships/hyperlink" Target="https://www.cosasdeunabailarina.es/andaluces-de-jaen/" TargetMode="External"/><Relationship Id="rId1798" Type="http://schemas.openxmlformats.org/officeDocument/2006/relationships/hyperlink" Target="http://www.multiforo.eu/Colaboraciones/2018/TratadoDeUtrechDos.htm" TargetMode="External"/><Relationship Id="rId2751" Type="http://schemas.openxmlformats.org/officeDocument/2006/relationships/hyperlink" Target="https://www.researchgate.net/profile/Lupicinio_Iniguez-Rueda" TargetMode="External"/><Relationship Id="rId723" Type="http://schemas.openxmlformats.org/officeDocument/2006/relationships/hyperlink" Target="https://www.eldiario.es/_324580bb" TargetMode="External"/><Relationship Id="rId930" Type="http://schemas.openxmlformats.org/officeDocument/2006/relationships/hyperlink" Target="https://www.libertaddigital.com/espana/politica/2018-12-06/javier-fernandez-lasquetty-nuevo-jefe-de-gabinete-de-casado-1276629457/" TargetMode="External"/><Relationship Id="rId1006" Type="http://schemas.openxmlformats.org/officeDocument/2006/relationships/hyperlink" Target="http://epmundo.com/2018/contundente-pablo-casado-defiende-la-inviolabilidad-del-rey/?utm_source=twitter&amp;utm_medium=social&amp;utm_campaign=ReviveOldPost" TargetMode="External"/><Relationship Id="rId1353" Type="http://schemas.openxmlformats.org/officeDocument/2006/relationships/hyperlink" Target="http://bit.ly/EP_Venezuela" TargetMode="External"/><Relationship Id="rId1560" Type="http://schemas.openxmlformats.org/officeDocument/2006/relationships/hyperlink" Target="https://davidcalvo.wordpress.com/" TargetMode="External"/><Relationship Id="rId1658" Type="http://schemas.openxmlformats.org/officeDocument/2006/relationships/hyperlink" Target="http://imusicate.com/" TargetMode="External"/><Relationship Id="rId1865" Type="http://schemas.openxmlformats.org/officeDocument/2006/relationships/hyperlink" Target="https://www.20minutos.es/noticia/3507418/0/pablo-casado-pp-elecciones-andalucia-pactos-ciudadanos-vox/" TargetMode="External"/><Relationship Id="rId2404" Type="http://schemas.openxmlformats.org/officeDocument/2006/relationships/hyperlink" Target="https://pbs.twimg.com/media/DtcEkcSXQAANe4J.jpg" TargetMode="External"/><Relationship Id="rId2611" Type="http://schemas.openxmlformats.org/officeDocument/2006/relationships/hyperlink" Target="https://www.publico.es/tremending/2018/11/30/hoy-en-parecidos-razonables-pablo-casado-y-albert-rivera-se-visten-exactamente-igual-el-mismo-dia/" TargetMode="External"/><Relationship Id="rId2709" Type="http://schemas.openxmlformats.org/officeDocument/2006/relationships/hyperlink" Target="https://www.vozpopuli.com/politica/razones-Casado-saldra-vivo-elecciones-Andalucia_0_1195680638.html" TargetMode="External"/><Relationship Id="rId1213" Type="http://schemas.openxmlformats.org/officeDocument/2006/relationships/hyperlink" Target="https://www.laopiniondemalaga.es/andalucia/2018/12/05/pablo-casado-cierra-puerta-vox/1052280.html" TargetMode="External"/><Relationship Id="rId1420" Type="http://schemas.openxmlformats.org/officeDocument/2006/relationships/hyperlink" Target="https://www.instagram.com/p/Bq-ern7FgbV/?utm_source=ig_twitter_share&amp;igshid=ifgywweb1bsb" TargetMode="External"/><Relationship Id="rId1518" Type="http://schemas.openxmlformats.org/officeDocument/2006/relationships/hyperlink" Target="http://ow.ly/qkBg30mRgWF" TargetMode="External"/><Relationship Id="rId1725" Type="http://schemas.openxmlformats.org/officeDocument/2006/relationships/hyperlink" Target="http://bit.ly/2zFRWx7" TargetMode="External"/><Relationship Id="rId1932" Type="http://schemas.openxmlformats.org/officeDocument/2006/relationships/hyperlink" Target="https://www.youtube.com/c/alfilodelabrecha" TargetMode="External"/><Relationship Id="rId17" Type="http://schemas.openxmlformats.org/officeDocument/2006/relationships/hyperlink" Target="https://curiouscat.me/Tiexable" TargetMode="External"/><Relationship Id="rId2194" Type="http://schemas.openxmlformats.org/officeDocument/2006/relationships/hyperlink" Target="http://twitch.com/crissonline" TargetMode="External"/><Relationship Id="rId166" Type="http://schemas.openxmlformats.org/officeDocument/2006/relationships/hyperlink" Target="https://youtu.be/YyvrZlrtZgQ" TargetMode="External"/><Relationship Id="rId373" Type="http://schemas.openxmlformats.org/officeDocument/2006/relationships/hyperlink" Target="https://www.larazon.es/espana/defender-la-constitucion-por-pablo-casado-FP20854122" TargetMode="External"/><Relationship Id="rId580" Type="http://schemas.openxmlformats.org/officeDocument/2006/relationships/hyperlink" Target="https://www.20minutos.es/" TargetMode="External"/><Relationship Id="rId2054" Type="http://schemas.openxmlformats.org/officeDocument/2006/relationships/hyperlink" Target="https://pbs.twimg.com/media/DteYPdsWsAA6yCj.jpg" TargetMode="External"/><Relationship Id="rId2261" Type="http://schemas.openxmlformats.org/officeDocument/2006/relationships/hyperlink" Target="http://www.losreplicantes.com/" TargetMode="External"/><Relationship Id="rId2499" Type="http://schemas.openxmlformats.org/officeDocument/2006/relationships/hyperlink" Target="https://www.instagram.com/p/Bq4yef2BrZX/?utm_source=ig_twitter_share&amp;igshid=1lnpvq512un4z" TargetMode="External"/><Relationship Id="rId1" Type="http://schemas.openxmlformats.org/officeDocument/2006/relationships/hyperlink" Target="https://okdiario.com/espana/2018/12/08/pablo-casado-llama-sus-ex-votantes-volver-pp-3442945" TargetMode="External"/><Relationship Id="rId233" Type="http://schemas.openxmlformats.org/officeDocument/2006/relationships/hyperlink" Target="http://www.diariodeuntranseunte.es/" TargetMode="External"/><Relationship Id="rId440" Type="http://schemas.openxmlformats.org/officeDocument/2006/relationships/hyperlink" Target="https://www.periodistadigital.com/politica/gobierno/2018/12/06/begona-gomez-6-000-euros-de-nomina-mensual-de-una-empresa-en-la-que-no-trabaja.shtml" TargetMode="External"/><Relationship Id="rId678" Type="http://schemas.openxmlformats.org/officeDocument/2006/relationships/hyperlink" Target="http://veoinfo.com/" TargetMode="External"/><Relationship Id="rId885" Type="http://schemas.openxmlformats.org/officeDocument/2006/relationships/hyperlink" Target="https://www.cope.es/n/305819" TargetMode="External"/><Relationship Id="rId1070" Type="http://schemas.openxmlformats.org/officeDocument/2006/relationships/hyperlink" Target="http://www.multiforo.eu/" TargetMode="External"/><Relationship Id="rId2121" Type="http://schemas.openxmlformats.org/officeDocument/2006/relationships/hyperlink" Target="https://pbs.twimg.com/media/DtcqRZhWsAEXF07.jpg" TargetMode="External"/><Relationship Id="rId2359" Type="http://schemas.openxmlformats.org/officeDocument/2006/relationships/hyperlink" Target="https://pbs.twimg.com/media/DtcWExfXgAMfVXC.jpg" TargetMode="External"/><Relationship Id="rId2566" Type="http://schemas.openxmlformats.org/officeDocument/2006/relationships/hyperlink" Target="https://twitter.com/AdelanteAND/status/1068605225370562560" TargetMode="External"/><Relationship Id="rId2773" Type="http://schemas.openxmlformats.org/officeDocument/2006/relationships/hyperlink" Target="http://divulgamadrid.blogspot.com.es/" TargetMode="External"/><Relationship Id="rId300" Type="http://schemas.openxmlformats.org/officeDocument/2006/relationships/hyperlink" Target="http://www.lavozdelsur.es/" TargetMode="External"/><Relationship Id="rId538" Type="http://schemas.openxmlformats.org/officeDocument/2006/relationships/hyperlink" Target="http://www.madriddigital24horas.com/" TargetMode="External"/><Relationship Id="rId745" Type="http://schemas.openxmlformats.org/officeDocument/2006/relationships/hyperlink" Target="http://www.dailymur.com/" TargetMode="External"/><Relationship Id="rId952" Type="http://schemas.openxmlformats.org/officeDocument/2006/relationships/hyperlink" Target="https://www.libertaddigital.com/espana/politica/2018-12-06/javier-fernandez-lasquetty-nuevo-jefe-de-gabinete-de-casado-1276629457/" TargetMode="External"/><Relationship Id="rId1168" Type="http://schemas.openxmlformats.org/officeDocument/2006/relationships/hyperlink" Target="https://pbs.twimg.com/media/DtpTRSvX4AAUKiQ.jpg" TargetMode="External"/><Relationship Id="rId1375" Type="http://schemas.openxmlformats.org/officeDocument/2006/relationships/hyperlink" Target="http://www.europapress.es/" TargetMode="External"/><Relationship Id="rId1582" Type="http://schemas.openxmlformats.org/officeDocument/2006/relationships/hyperlink" Target="https://www.elmundo.es/madrid/2018/12/04/5c05763efdddffde9e8b476a.html" TargetMode="External"/><Relationship Id="rId2219" Type="http://schemas.openxmlformats.org/officeDocument/2006/relationships/hyperlink" Target="https://virginiahernandezblog.wordpress.com/" TargetMode="External"/><Relationship Id="rId2426" Type="http://schemas.openxmlformats.org/officeDocument/2006/relationships/hyperlink" Target="http://elconfidencial.com/" TargetMode="External"/><Relationship Id="rId2633" Type="http://schemas.openxmlformats.org/officeDocument/2006/relationships/hyperlink" Target="http://dlvr.it/Qsc7mY" TargetMode="External"/><Relationship Id="rId81" Type="http://schemas.openxmlformats.org/officeDocument/2006/relationships/hyperlink" Target="http://pic.twitter.com/ZroAaGjpuJ" TargetMode="External"/><Relationship Id="rId605" Type="http://schemas.openxmlformats.org/officeDocument/2006/relationships/hyperlink" Target="https://pbs.twimg.com/media/DtvxK3qWoAEVWOK.jpg" TargetMode="External"/><Relationship Id="rId812" Type="http://schemas.openxmlformats.org/officeDocument/2006/relationships/hyperlink" Target="http://www.expansion.com/" TargetMode="External"/><Relationship Id="rId1028" Type="http://schemas.openxmlformats.org/officeDocument/2006/relationships/hyperlink" Target="https://pbs.twimg.com/media/DtrHRzuWoAEMkNc.jpg" TargetMode="External"/><Relationship Id="rId1235" Type="http://schemas.openxmlformats.org/officeDocument/2006/relationships/hyperlink" Target="http://www.cordoba24horas.com/" TargetMode="External"/><Relationship Id="rId1442" Type="http://schemas.openxmlformats.org/officeDocument/2006/relationships/hyperlink" Target="https://pbs.twimg.com/media/Dtl1h6qWsAEH4fz.jpg" TargetMode="External"/><Relationship Id="rId1887" Type="http://schemas.openxmlformats.org/officeDocument/2006/relationships/hyperlink" Target="https://www.lavanguardia.com/politica/20181203/453310860731/pablo-casado-exige-pedro-sanchez-convoque-elecciones-generales-pp-ahora-puede-crecer.html?utm_source=twitter_lv&amp;utm_medium=social" TargetMode="External"/><Relationship Id="rId1302" Type="http://schemas.openxmlformats.org/officeDocument/2006/relationships/hyperlink" Target="https://thenewsatyourfingertips.wordpress.com/2018/12/05/pablo-casado-busca-candidatos-duros-en-el-pp-para-frenar-a-vox/" TargetMode="External"/><Relationship Id="rId1747" Type="http://schemas.openxmlformats.org/officeDocument/2006/relationships/hyperlink" Target="https://www.elmundo.es/espana/2018/12/03/5c05442321efa0cc3d8b46bc.html" TargetMode="External"/><Relationship Id="rId1954" Type="http://schemas.openxmlformats.org/officeDocument/2006/relationships/hyperlink" Target="http://page.is/joaquin-l--ramirez" TargetMode="External"/><Relationship Id="rId2700" Type="http://schemas.openxmlformats.org/officeDocument/2006/relationships/hyperlink" Target="http://bit.ly/2zvevEH" TargetMode="External"/><Relationship Id="rId39" Type="http://schemas.openxmlformats.org/officeDocument/2006/relationships/hyperlink" Target="https://pbs.twimg.com/media/Dt5vTQZWkAEjdoh.jpg" TargetMode="External"/><Relationship Id="rId1607" Type="http://schemas.openxmlformats.org/officeDocument/2006/relationships/hyperlink" Target="http://instagram.com/berlustinho" TargetMode="External"/><Relationship Id="rId1814" Type="http://schemas.openxmlformats.org/officeDocument/2006/relationships/hyperlink" Target="http://elasterisco.es/" TargetMode="External"/><Relationship Id="rId188" Type="http://schemas.openxmlformats.org/officeDocument/2006/relationships/hyperlink" Target="http://cadenaser.com/emisora/2018/12/07/radio_zaragoza/1544194416_949080.html" TargetMode="External"/><Relationship Id="rId395" Type="http://schemas.openxmlformats.org/officeDocument/2006/relationships/hyperlink" Target="http://dlvr.it/Qt1qTX" TargetMode="External"/><Relationship Id="rId2076" Type="http://schemas.openxmlformats.org/officeDocument/2006/relationships/hyperlink" Target="https://m.eldiario.es/_32310e9c" TargetMode="External"/><Relationship Id="rId2283" Type="http://schemas.openxmlformats.org/officeDocument/2006/relationships/hyperlink" Target="http://paypal.me/lexufistro" TargetMode="External"/><Relationship Id="rId2490" Type="http://schemas.openxmlformats.org/officeDocument/2006/relationships/hyperlink" Target="https://twitter.com/Nicormg/status/1069042779563659264" TargetMode="External"/><Relationship Id="rId2588" Type="http://schemas.openxmlformats.org/officeDocument/2006/relationships/hyperlink" Target="https://www.linkedin.com/in/luca-piluso-6714099a" TargetMode="External"/><Relationship Id="rId255" Type="http://schemas.openxmlformats.org/officeDocument/2006/relationships/hyperlink" Target="https://kaosenlared.net/tratado-de-utrecht-dos/" TargetMode="External"/><Relationship Id="rId462" Type="http://schemas.openxmlformats.org/officeDocument/2006/relationships/hyperlink" Target="http://www.arnaldotegi.eus/" TargetMode="External"/><Relationship Id="rId1092" Type="http://schemas.openxmlformats.org/officeDocument/2006/relationships/hyperlink" Target="https://www.elconfidencial.com/elecciones-andalucia/2018-12-04/elecciones-andalucia-pablo-casado-pp-vox-ciudadanos_1685222/?utm_source=twitter&amp;utm_medium=social&amp;utm_campaign=BotoneraWeb" TargetMode="External"/><Relationship Id="rId1397" Type="http://schemas.openxmlformats.org/officeDocument/2006/relationships/hyperlink" Target="http://epmundo.com/2018/contundente-pablo-casado-defiende-la-inviolabilidad-del-rey/" TargetMode="External"/><Relationship Id="rId2143" Type="http://schemas.openxmlformats.org/officeDocument/2006/relationships/hyperlink" Target="https://www.abc.es/espana/abci-pablo-casado-creo-despues-40-anos-hora-pp-gobernara-san-telmo-201812022338_noticia.html" TargetMode="External"/><Relationship Id="rId2350" Type="http://schemas.openxmlformats.org/officeDocument/2006/relationships/hyperlink" Target="https://twitter.com/rtsimpsons/status/1069339684441153536" TargetMode="External"/><Relationship Id="rId2795" Type="http://schemas.openxmlformats.org/officeDocument/2006/relationships/hyperlink" Target="https://twitter.com/pnique/status/1068824835139268608" TargetMode="External"/><Relationship Id="rId115" Type="http://schemas.openxmlformats.org/officeDocument/2006/relationships/hyperlink" Target="http://www.huffingtonpost.es/" TargetMode="External"/><Relationship Id="rId322" Type="http://schemas.openxmlformats.org/officeDocument/2006/relationships/hyperlink" Target="http://mediterraneo.diario16.com/la-ignorancia-pablo-casado-no-sabe-una-republica/" TargetMode="External"/><Relationship Id="rId767" Type="http://schemas.openxmlformats.org/officeDocument/2006/relationships/hyperlink" Target="http://ehbildu.eus/" TargetMode="External"/><Relationship Id="rId974" Type="http://schemas.openxmlformats.org/officeDocument/2006/relationships/hyperlink" Target="http://albaciudad.org/" TargetMode="External"/><Relationship Id="rId2003" Type="http://schemas.openxmlformats.org/officeDocument/2006/relationships/hyperlink" Target="http://marmotamaligna.wordpress.com/" TargetMode="External"/><Relationship Id="rId2210" Type="http://schemas.openxmlformats.org/officeDocument/2006/relationships/hyperlink" Target="https://curiouscat.me/elektrogeist_" TargetMode="External"/><Relationship Id="rId2448" Type="http://schemas.openxmlformats.org/officeDocument/2006/relationships/hyperlink" Target="http://pic.twitter.com/4g2AW0vDD3" TargetMode="External"/><Relationship Id="rId2655" Type="http://schemas.openxmlformats.org/officeDocument/2006/relationships/hyperlink" Target="https://diario6.com/el-jefe-de-prensa-de-pablo-casado-esta-imputado-por-fraude-malversacion-y-trafico-de-influencias/" TargetMode="External"/><Relationship Id="rId627" Type="http://schemas.openxmlformats.org/officeDocument/2006/relationships/hyperlink" Target="http://eleconomista.es/autor/Laura-Cruz-Berlin" TargetMode="External"/><Relationship Id="rId834" Type="http://schemas.openxmlformats.org/officeDocument/2006/relationships/hyperlink" Target="https://pbs.twimg.com/media/DtupPJxXcAA9bBH.jpg" TargetMode="External"/><Relationship Id="rId1257" Type="http://schemas.openxmlformats.org/officeDocument/2006/relationships/hyperlink" Target="https://www.elmundo.es/espana/2018/12/05/5c06eb2afc6c839b5f8b4622.html" TargetMode="External"/><Relationship Id="rId1464" Type="http://schemas.openxmlformats.org/officeDocument/2006/relationships/hyperlink" Target="https://www.elplural.com/politica/pablo-casado-rechaza-suprimir-inviolabilidad-del-rey_207544102" TargetMode="External"/><Relationship Id="rId1671" Type="http://schemas.openxmlformats.org/officeDocument/2006/relationships/hyperlink" Target="https://www.instagram.com/chufathepoet/" TargetMode="External"/><Relationship Id="rId2308" Type="http://schemas.openxmlformats.org/officeDocument/2006/relationships/hyperlink" Target="https://www.youtube.com/playlist?list=PLflX-6OdGfGssnbY_8o3rAL3u0asmmgVm&amp;disable_polymer=true" TargetMode="External"/><Relationship Id="rId2515" Type="http://schemas.openxmlformats.org/officeDocument/2006/relationships/hyperlink" Target="https://www.elmundo.es/espana/2018/12/02/5c02dc68fc6c83e67a8b45a2.html" TargetMode="External"/><Relationship Id="rId2722" Type="http://schemas.openxmlformats.org/officeDocument/2006/relationships/hyperlink" Target="http://www.abc.es/estilo" TargetMode="External"/><Relationship Id="rId901" Type="http://schemas.openxmlformats.org/officeDocument/2006/relationships/hyperlink" Target="https://www.libertaddigital.com/espana/politica/2018-12-06/javier-fernandez-lasquetty-nuevo-jefe-de-gabinete-de-casado-1276629457/" TargetMode="External"/><Relationship Id="rId1117" Type="http://schemas.openxmlformats.org/officeDocument/2006/relationships/hyperlink" Target="https://pbs.twimg.com/media/DtpsvDMXcAA7vaH.jpg" TargetMode="External"/><Relationship Id="rId1324" Type="http://schemas.openxmlformats.org/officeDocument/2006/relationships/hyperlink" Target="https://pbs.twimg.com/media/DtnGSHCWoAAfMW7.jpg" TargetMode="External"/><Relationship Id="rId1531" Type="http://schemas.openxmlformats.org/officeDocument/2006/relationships/hyperlink" Target="https://www.instagram.com/smqphotography_/" TargetMode="External"/><Relationship Id="rId1769" Type="http://schemas.openxmlformats.org/officeDocument/2006/relationships/hyperlink" Target="https://okdiario.com/general/2018/12/03/casado-sanchez-debe-convocar-elecciones-inmediato-3421940" TargetMode="External"/><Relationship Id="rId1976" Type="http://schemas.openxmlformats.org/officeDocument/2006/relationships/hyperlink" Target="http://www.elplural.com/" TargetMode="External"/><Relationship Id="rId30" Type="http://schemas.openxmlformats.org/officeDocument/2006/relationships/hyperlink" Target="http://www.librediariodigital.net/texto-diario/mostrar/1207785/pablo-casado-hare-posible-impedir-salario-minimo-interprofesional-suba-900-euros" TargetMode="External"/><Relationship Id="rId1629" Type="http://schemas.openxmlformats.org/officeDocument/2006/relationships/hyperlink" Target="http://www.carnecruda.es/" TargetMode="External"/><Relationship Id="rId1836" Type="http://schemas.openxmlformats.org/officeDocument/2006/relationships/hyperlink" Target="http://bit.ly/2AOl198" TargetMode="External"/><Relationship Id="rId1903" Type="http://schemas.openxmlformats.org/officeDocument/2006/relationships/hyperlink" Target="http://www.galiciae.com/" TargetMode="External"/><Relationship Id="rId2098" Type="http://schemas.openxmlformats.org/officeDocument/2006/relationships/hyperlink" Target="https://www.zapper.news/news" TargetMode="External"/><Relationship Id="rId277" Type="http://schemas.openxmlformats.org/officeDocument/2006/relationships/hyperlink" Target="https://youtu.be/TCql_AXSpzg?t=5s" TargetMode="External"/><Relationship Id="rId484" Type="http://schemas.openxmlformats.org/officeDocument/2006/relationships/hyperlink" Target="https://www.larazon.es/espana/defender-la-constitucion-por-pablo-casado-FP20854122" TargetMode="External"/><Relationship Id="rId2165" Type="http://schemas.openxmlformats.org/officeDocument/2006/relationships/hyperlink" Target="https://www.instagram.com/candelarueda_/" TargetMode="External"/><Relationship Id="rId137" Type="http://schemas.openxmlformats.org/officeDocument/2006/relationships/hyperlink" Target="https://www.elespanol.com/cultura/libros/20181031/rosa-montero-pablo-casado-reaccionario-aprendera-feminismo/349466137_0.html" TargetMode="External"/><Relationship Id="rId344" Type="http://schemas.openxmlformats.org/officeDocument/2006/relationships/hyperlink" Target="https://blogs.publico.es/strambotic/2018/12/frases-pablo-casado/" TargetMode="External"/><Relationship Id="rId691" Type="http://schemas.openxmlformats.org/officeDocument/2006/relationships/hyperlink" Target="http://nuevarevolucion.es/" TargetMode="External"/><Relationship Id="rId789" Type="http://schemas.openxmlformats.org/officeDocument/2006/relationships/hyperlink" Target="https://www.larazon.es/espana/defender-la-constitucion-por-pablo-casado-FP20854122" TargetMode="External"/><Relationship Id="rId996" Type="http://schemas.openxmlformats.org/officeDocument/2006/relationships/hyperlink" Target="http://www.ecodeteruel.tv/" TargetMode="External"/><Relationship Id="rId2025" Type="http://schemas.openxmlformats.org/officeDocument/2006/relationships/hyperlink" Target="http://facebook.com/alberto.orozcoperujo" TargetMode="External"/><Relationship Id="rId2372" Type="http://schemas.openxmlformats.org/officeDocument/2006/relationships/hyperlink" Target="http://pic.twitter.com/QY5c2SZGef" TargetMode="External"/><Relationship Id="rId2677" Type="http://schemas.openxmlformats.org/officeDocument/2006/relationships/hyperlink" Target="http://pic.twitter.com/nWtgeiLGKv" TargetMode="External"/><Relationship Id="rId551" Type="http://schemas.openxmlformats.org/officeDocument/2006/relationships/hyperlink" Target="https://pbs.twimg.com/media/DtwFMFrUcAAb2uq.jpg" TargetMode="External"/><Relationship Id="rId649" Type="http://schemas.openxmlformats.org/officeDocument/2006/relationships/hyperlink" Target="https://www.eldiario.es/politica/Casado-gobernar-Espana-coalicion-Ciudadanos_0_843415975.html" TargetMode="External"/><Relationship Id="rId856" Type="http://schemas.openxmlformats.org/officeDocument/2006/relationships/hyperlink" Target="http://www.rtve.es/noticias/mas-24/" TargetMode="External"/><Relationship Id="rId1181" Type="http://schemas.openxmlformats.org/officeDocument/2006/relationships/hyperlink" Target="https://www.elmundo.es/espana/2018/12/05/5c06eb2afc6c839b5f8b4622.html" TargetMode="External"/><Relationship Id="rId1279" Type="http://schemas.openxmlformats.org/officeDocument/2006/relationships/hyperlink" Target="http://www.miradasenlafrontera.com/" TargetMode="External"/><Relationship Id="rId1486" Type="http://schemas.openxmlformats.org/officeDocument/2006/relationships/hyperlink" Target="http://noticiasvenezuela.co/" TargetMode="External"/><Relationship Id="rId2232" Type="http://schemas.openxmlformats.org/officeDocument/2006/relationships/hyperlink" Target="https://pbs.twimg.com/media/DtcgYF9UwAAi267.jpg" TargetMode="External"/><Relationship Id="rId2537" Type="http://schemas.openxmlformats.org/officeDocument/2006/relationships/hyperlink" Target="http://www.democraciajajaj&#225;.es/" TargetMode="External"/><Relationship Id="rId204" Type="http://schemas.openxmlformats.org/officeDocument/2006/relationships/hyperlink" Target="http://mediterraneo.diario16.com/la-ignorancia-pablo-casado-no-sabe-una-republica/" TargetMode="External"/><Relationship Id="rId411" Type="http://schemas.openxmlformats.org/officeDocument/2006/relationships/hyperlink" Target="http://www.elcorreodepozuelo.com/" TargetMode="External"/><Relationship Id="rId509" Type="http://schemas.openxmlformats.org/officeDocument/2006/relationships/hyperlink" Target="https://pbs.twimg.com/media/DtwZOMEXQAEZFZM.jpg" TargetMode="External"/><Relationship Id="rId1041" Type="http://schemas.openxmlformats.org/officeDocument/2006/relationships/hyperlink" Target="http://www.multiforo.eu/" TargetMode="External"/><Relationship Id="rId1139" Type="http://schemas.openxmlformats.org/officeDocument/2006/relationships/hyperlink" Target="http://a.msn.com/01/es-es/BBQtLvD?ocid=sf" TargetMode="External"/><Relationship Id="rId1346" Type="http://schemas.openxmlformats.org/officeDocument/2006/relationships/hyperlink" Target="http://ganemoscordoba.org/" TargetMode="External"/><Relationship Id="rId1693" Type="http://schemas.openxmlformats.org/officeDocument/2006/relationships/hyperlink" Target="http://www.cambio16.com/" TargetMode="External"/><Relationship Id="rId1998" Type="http://schemas.openxmlformats.org/officeDocument/2006/relationships/hyperlink" Target="https://pbs.twimg.com/media/DtfEF6tXcAI43EB.jpg" TargetMode="External"/><Relationship Id="rId2744" Type="http://schemas.openxmlformats.org/officeDocument/2006/relationships/hyperlink" Target="https://twitter.com/twitter/statuses/1068605225370562560" TargetMode="External"/><Relationship Id="rId716" Type="http://schemas.openxmlformats.org/officeDocument/2006/relationships/hyperlink" Target="http://www.jorgeurreta.com/" TargetMode="External"/><Relationship Id="rId923" Type="http://schemas.openxmlformats.org/officeDocument/2006/relationships/hyperlink" Target="https://www.libertaddigital.com/espana/politica/2018-12-06/javier-fernandez-lasquetty-nuevo-jefe-de-gabinete-de-casado-1276629457/" TargetMode="External"/><Relationship Id="rId1553" Type="http://schemas.openxmlformats.org/officeDocument/2006/relationships/hyperlink" Target="http://youtu.be/Xfc5MAG9JGo?a" TargetMode="External"/><Relationship Id="rId1760" Type="http://schemas.openxmlformats.org/officeDocument/2006/relationships/hyperlink" Target="https://twitter.com/sarranchin" TargetMode="External"/><Relationship Id="rId1858" Type="http://schemas.openxmlformats.org/officeDocument/2006/relationships/hyperlink" Target="http://listas.20minutos.es/otros/" TargetMode="External"/><Relationship Id="rId2604" Type="http://schemas.openxmlformats.org/officeDocument/2006/relationships/hyperlink" Target="https://www.elmundo.es/espana/2018/12/02/5c02dc68fc6c83e67a8b45a2.html" TargetMode="External"/><Relationship Id="rId52" Type="http://schemas.openxmlformats.org/officeDocument/2006/relationships/hyperlink" Target="http://dlvr.it/Qt7vCJ" TargetMode="External"/><Relationship Id="rId1206" Type="http://schemas.openxmlformats.org/officeDocument/2006/relationships/hyperlink" Target="https://www.elmundo.es/espana/2018/12/05/5c06eb2afc6c839b5f8b4622.html" TargetMode="External"/><Relationship Id="rId1413" Type="http://schemas.openxmlformats.org/officeDocument/2006/relationships/hyperlink" Target="https://pbs.twimg.com/media/Dtl3-w8XgAAKd7l.jpg" TargetMode="External"/><Relationship Id="rId1620" Type="http://schemas.openxmlformats.org/officeDocument/2006/relationships/hyperlink" Target="http://dejaecritt.wordpress.com/" TargetMode="External"/><Relationship Id="rId1718" Type="http://schemas.openxmlformats.org/officeDocument/2006/relationships/hyperlink" Target="http://www.plateamagazine.com/" TargetMode="External"/><Relationship Id="rId1925" Type="http://schemas.openxmlformats.org/officeDocument/2006/relationships/hyperlink" Target="http://www.lafabrica.com/es/evento/firma-pablo-heras-casado/" TargetMode="External"/><Relationship Id="rId299" Type="http://schemas.openxmlformats.org/officeDocument/2006/relationships/hyperlink" Target="https://www.lavozdelsur.es/pablo-casado-tambien-quiere-que-whatsapp-tenga-un-emoji-de-la-zambomba-jerezana/" TargetMode="External"/><Relationship Id="rId2187" Type="http://schemas.openxmlformats.org/officeDocument/2006/relationships/hyperlink" Target="http://ondace.ro/bnzot2" TargetMode="External"/><Relationship Id="rId2394" Type="http://schemas.openxmlformats.org/officeDocument/2006/relationships/hyperlink" Target="http://www.lne.es/" TargetMode="External"/><Relationship Id="rId159" Type="http://schemas.openxmlformats.org/officeDocument/2006/relationships/hyperlink" Target="http://www.salvadorescalona.es/" TargetMode="External"/><Relationship Id="rId366" Type="http://schemas.openxmlformats.org/officeDocument/2006/relationships/hyperlink" Target="https://twitter.com/marubimo/status/1070727776725057537" TargetMode="External"/><Relationship Id="rId573" Type="http://schemas.openxmlformats.org/officeDocument/2006/relationships/hyperlink" Target="http://www.patxibarrondo.com/" TargetMode="External"/><Relationship Id="rId780" Type="http://schemas.openxmlformats.org/officeDocument/2006/relationships/hyperlink" Target="http://elmalodelosratpack.blogspot.com/" TargetMode="External"/><Relationship Id="rId2047" Type="http://schemas.openxmlformats.org/officeDocument/2006/relationships/hyperlink" Target="https://goo.gl/YucRp4" TargetMode="External"/><Relationship Id="rId2254" Type="http://schemas.openxmlformats.org/officeDocument/2006/relationships/hyperlink" Target="http://www.meneame.net/user/wat_son" TargetMode="External"/><Relationship Id="rId2461" Type="http://schemas.openxmlformats.org/officeDocument/2006/relationships/hyperlink" Target="https://www.publico.es/tremending/2018/11/30/hoy-en-parecidos-razonables-pablo-casado-y-albert-rivera-se-visten-exactamente-igual-el-mismo-dia/" TargetMode="External"/><Relationship Id="rId2699" Type="http://schemas.openxmlformats.org/officeDocument/2006/relationships/hyperlink" Target="http://santacreu.redsat.net/pablo-casado-y-las-malas-companias-pablocasado_/" TargetMode="External"/><Relationship Id="rId226" Type="http://schemas.openxmlformats.org/officeDocument/2006/relationships/hyperlink" Target="https://pbs.twimg.com/media/Dt1DqVvXcAAPkgy.jpg" TargetMode="External"/><Relationship Id="rId433" Type="http://schemas.openxmlformats.org/officeDocument/2006/relationships/hyperlink" Target="http://dlvr.it/Qt1GW3" TargetMode="External"/><Relationship Id="rId878" Type="http://schemas.openxmlformats.org/officeDocument/2006/relationships/hyperlink" Target="http://historiaignoradadelahumanidad.wordpress.com/" TargetMode="External"/><Relationship Id="rId1063" Type="http://schemas.openxmlformats.org/officeDocument/2006/relationships/hyperlink" Target="https://pbs.twimg.com/media/Dtqq_uvWoAA5YUp.jpg" TargetMode="External"/><Relationship Id="rId1270" Type="http://schemas.openxmlformats.org/officeDocument/2006/relationships/hyperlink" Target="https://www.elmundo.es/espana/2018/12/05/5c06eb2afc6c839b5f8b4622.html" TargetMode="External"/><Relationship Id="rId2114" Type="http://schemas.openxmlformats.org/officeDocument/2006/relationships/hyperlink" Target="https://pbs.twimg.com/media/Dtcq5MMWkAMVTBt.jpg" TargetMode="External"/><Relationship Id="rId2559" Type="http://schemas.openxmlformats.org/officeDocument/2006/relationships/hyperlink" Target="https://josefinallorentej.wixsite.com/canella" TargetMode="External"/><Relationship Id="rId2766" Type="http://schemas.openxmlformats.org/officeDocument/2006/relationships/hyperlink" Target="https://pbs.twimg.com/media/DtV4VYtWoAE37kw.jpg" TargetMode="External"/><Relationship Id="rId640" Type="http://schemas.openxmlformats.org/officeDocument/2006/relationships/hyperlink" Target="https://pbs.twimg.com/media/DtvoO2ZUUAEM0RZ.jpg" TargetMode="External"/><Relationship Id="rId738" Type="http://schemas.openxmlformats.org/officeDocument/2006/relationships/hyperlink" Target="https://instagram.com/_victor_hurtado/" TargetMode="External"/><Relationship Id="rId945" Type="http://schemas.openxmlformats.org/officeDocument/2006/relationships/hyperlink" Target="http://dlvr.it/QsxgKx" TargetMode="External"/><Relationship Id="rId1368" Type="http://schemas.openxmlformats.org/officeDocument/2006/relationships/hyperlink" Target="http://vicentvercher.wordpress.com/" TargetMode="External"/><Relationship Id="rId1575" Type="http://schemas.openxmlformats.org/officeDocument/2006/relationships/hyperlink" Target="https://www.youtube.com/channel/UCY60GBj-H8SmayRG1UgDVWw" TargetMode="External"/><Relationship Id="rId1782" Type="http://schemas.openxmlformats.org/officeDocument/2006/relationships/hyperlink" Target="http://cgi.expansion.com/buscador/archivo_expansion.html?q=xavier+palao&amp;donde=11&amp;b_avanzada=" TargetMode="External"/><Relationship Id="rId2321" Type="http://schemas.openxmlformats.org/officeDocument/2006/relationships/hyperlink" Target="http://www.elindependiente.com/" TargetMode="External"/><Relationship Id="rId2419" Type="http://schemas.openxmlformats.org/officeDocument/2006/relationships/hyperlink" Target="https://www.facebook.com/oscar.reciocoll.docente" TargetMode="External"/><Relationship Id="rId2626" Type="http://schemas.openxmlformats.org/officeDocument/2006/relationships/hyperlink" Target="http://cadenaser.com/ser/2018/11/30/politica/1543613809_281010.html?ssm=fb" TargetMode="External"/><Relationship Id="rId74" Type="http://schemas.openxmlformats.org/officeDocument/2006/relationships/hyperlink" Target="https://lavozdelbecario.es/pablo-casado-promete-aplicar-el-155-a-ikea-por-declarar-la-republica-independiente-de-tu-casa/" TargetMode="External"/><Relationship Id="rId500" Type="http://schemas.openxmlformats.org/officeDocument/2006/relationships/hyperlink" Target="https://www.youtube.com/channel/UCY60GBj-H8SmayRG1UgDVWw" TargetMode="External"/><Relationship Id="rId805" Type="http://schemas.openxmlformats.org/officeDocument/2006/relationships/hyperlink" Target="https://abiertopp.es/" TargetMode="External"/><Relationship Id="rId1130" Type="http://schemas.openxmlformats.org/officeDocument/2006/relationships/hyperlink" Target="https://ift.tt/2AS8lya" TargetMode="External"/><Relationship Id="rId1228" Type="http://schemas.openxmlformats.org/officeDocument/2006/relationships/hyperlink" Target="https://www.elmundo.es/espana/2018/12/05/5c06eb2afc6c839b5f8b4622.html" TargetMode="External"/><Relationship Id="rId1435" Type="http://schemas.openxmlformats.org/officeDocument/2006/relationships/hyperlink" Target="http://pic.twitter.com/SvBkf9gKhy" TargetMode="External"/><Relationship Id="rId1642" Type="http://schemas.openxmlformats.org/officeDocument/2006/relationships/hyperlink" Target="http://www.elnacional.cat/es/" TargetMode="External"/><Relationship Id="rId1947" Type="http://schemas.openxmlformats.org/officeDocument/2006/relationships/hyperlink" Target="http://ver.abc.es/tbfk21" TargetMode="External"/><Relationship Id="rId1502" Type="http://schemas.openxmlformats.org/officeDocument/2006/relationships/hyperlink" Target="http://inmoavery.com/" TargetMode="External"/><Relationship Id="rId1807" Type="http://schemas.openxmlformats.org/officeDocument/2006/relationships/hyperlink" Target="http://pic.twitter.com/vsVoaJjMTG" TargetMode="External"/><Relationship Id="rId290" Type="http://schemas.openxmlformats.org/officeDocument/2006/relationships/hyperlink" Target="https://pbs.twimg.com/media/Dt0RUT1XQAImPzJ.jpg" TargetMode="External"/><Relationship Id="rId388" Type="http://schemas.openxmlformats.org/officeDocument/2006/relationships/hyperlink" Target="https://pbs.twimg.com/media/DtyYBU-WwAU5rv7.jpg" TargetMode="External"/><Relationship Id="rId2069" Type="http://schemas.openxmlformats.org/officeDocument/2006/relationships/hyperlink" Target="http://youtu.be/cMOFYQVYGDU?a" TargetMode="External"/><Relationship Id="rId150" Type="http://schemas.openxmlformats.org/officeDocument/2006/relationships/hyperlink" Target="http://www.convivenciaysolidaridad.blogspot.com/" TargetMode="External"/><Relationship Id="rId595" Type="http://schemas.openxmlformats.org/officeDocument/2006/relationships/hyperlink" Target="https://www.eldiario.es/_324580bb" TargetMode="External"/><Relationship Id="rId2276" Type="http://schemas.openxmlformats.org/officeDocument/2006/relationships/hyperlink" Target="http://www.ninestoriesband.com/" TargetMode="External"/><Relationship Id="rId2483" Type="http://schemas.openxmlformats.org/officeDocument/2006/relationships/hyperlink" Target="http://www.blanca-rodriguez.com/" TargetMode="External"/><Relationship Id="rId2690" Type="http://schemas.openxmlformats.org/officeDocument/2006/relationships/hyperlink" Target="http://todoradio.es/" TargetMode="External"/><Relationship Id="rId248" Type="http://schemas.openxmlformats.org/officeDocument/2006/relationships/hyperlink" Target="http://mediterraneo.diario16.com/la-ignorancia-pablo-casado-no-sabe-una-republica/" TargetMode="External"/><Relationship Id="rId455" Type="http://schemas.openxmlformats.org/officeDocument/2006/relationships/hyperlink" Target="http://informedesdelafrontera.blogspot.com/" TargetMode="External"/><Relationship Id="rId662" Type="http://schemas.openxmlformats.org/officeDocument/2006/relationships/hyperlink" Target="http://www.elmundo.es/espana.html" TargetMode="External"/><Relationship Id="rId1085" Type="http://schemas.openxmlformats.org/officeDocument/2006/relationships/hyperlink" Target="http://epmundo.com/2018/contundente-pablo-casado-defiende-la-inviolabilidad-del-rey/" TargetMode="External"/><Relationship Id="rId1292" Type="http://schemas.openxmlformats.org/officeDocument/2006/relationships/hyperlink" Target="https://pbs.twimg.com/media/Dtn1XizWkAUQNTz.jpg" TargetMode="External"/><Relationship Id="rId2136" Type="http://schemas.openxmlformats.org/officeDocument/2006/relationships/hyperlink" Target="http://www.lextres.com/" TargetMode="External"/><Relationship Id="rId2343" Type="http://schemas.openxmlformats.org/officeDocument/2006/relationships/hyperlink" Target="http://pic.twitter.com/eK7pNbqBDv" TargetMode="External"/><Relationship Id="rId2550" Type="http://schemas.openxmlformats.org/officeDocument/2006/relationships/hyperlink" Target="https://www.facebook.com/100002086462271/posts/1973286789417517/" TargetMode="External"/><Relationship Id="rId2788" Type="http://schemas.openxmlformats.org/officeDocument/2006/relationships/hyperlink" Target="https://curiouscat.me/Virtudsin/post/721663748?t=1543673240" TargetMode="External"/><Relationship Id="rId108" Type="http://schemas.openxmlformats.org/officeDocument/2006/relationships/hyperlink" Target="http://www.elnortedecastilla.es/" TargetMode="External"/><Relationship Id="rId315" Type="http://schemas.openxmlformats.org/officeDocument/2006/relationships/hyperlink" Target="https://www.diariomedico.com/politica/el-exconsejero-de-sanidad-en-madrid-fernandez-lasquetty-nuevo-jefe-de-gabinete-de-pablo-casado.html" TargetMode="External"/><Relationship Id="rId522" Type="http://schemas.openxmlformats.org/officeDocument/2006/relationships/hyperlink" Target="https://m.eldiario.es/324581a7_843415975/" TargetMode="External"/><Relationship Id="rId967" Type="http://schemas.openxmlformats.org/officeDocument/2006/relationships/hyperlink" Target="http://www.lextres.com/" TargetMode="External"/><Relationship Id="rId1152" Type="http://schemas.openxmlformats.org/officeDocument/2006/relationships/hyperlink" Target="https://twitter.com/esbadillo/status/1066413165431410689" TargetMode="External"/><Relationship Id="rId1597" Type="http://schemas.openxmlformats.org/officeDocument/2006/relationships/hyperlink" Target="http://www.lacerca.com/noticias/espana/pp-casado-despenalizar-inviolabilidad-rey-indultos-rebelion-sedicion-447880-1.html" TargetMode="External"/><Relationship Id="rId2203" Type="http://schemas.openxmlformats.org/officeDocument/2006/relationships/hyperlink" Target="https://www.facebook.com/1263435581/posts/10217535317275813/" TargetMode="External"/><Relationship Id="rId2410" Type="http://schemas.openxmlformats.org/officeDocument/2006/relationships/hyperlink" Target="https://twitter.com/Nicormg/status/1069042779563659264" TargetMode="External"/><Relationship Id="rId2648" Type="http://schemas.openxmlformats.org/officeDocument/2006/relationships/hyperlink" Target="https://elpais.com/elpais/2018/11/27/opinion/1543338114_802677.html" TargetMode="External"/><Relationship Id="rId96" Type="http://schemas.openxmlformats.org/officeDocument/2006/relationships/hyperlink" Target="http://www.cossat.com/" TargetMode="External"/><Relationship Id="rId827" Type="http://schemas.openxmlformats.org/officeDocument/2006/relationships/hyperlink" Target="https://www.larazon.es/amp/espana/defender-la-constitucion-por-pablo-casado-FP20854122?__twitter_impression=true" TargetMode="External"/><Relationship Id="rId1012" Type="http://schemas.openxmlformats.org/officeDocument/2006/relationships/hyperlink" Target="http://cadenaser.com/emisora/2018/12/05/radio_cordoba/1544015226_944576.html?ssm=tw" TargetMode="External"/><Relationship Id="rId1457" Type="http://schemas.openxmlformats.org/officeDocument/2006/relationships/hyperlink" Target="https://twiter.com/agrnineta" TargetMode="External"/><Relationship Id="rId1664" Type="http://schemas.openxmlformats.org/officeDocument/2006/relationships/hyperlink" Target="https://www.lavanguardia.com/politica/20181204/453328510461/elecciones-andaluzas-pp-cs-vox-pacto-susana-diaz.html" TargetMode="External"/><Relationship Id="rId1871" Type="http://schemas.openxmlformats.org/officeDocument/2006/relationships/hyperlink" Target="http://shr.gs/exP72bD" TargetMode="External"/><Relationship Id="rId2508" Type="http://schemas.openxmlformats.org/officeDocument/2006/relationships/hyperlink" Target="https://www.mundiario.com/articulo/politica/elecciones-andalucia-2018-cuestion-nacional/20181202132503139507.html" TargetMode="External"/><Relationship Id="rId2715" Type="http://schemas.openxmlformats.org/officeDocument/2006/relationships/hyperlink" Target="https://pbs.twimg.com/media/DtWnnGEWkAAPegJ.jpg" TargetMode="External"/><Relationship Id="rId1317" Type="http://schemas.openxmlformats.org/officeDocument/2006/relationships/hyperlink" Target="https://curiouscat.me/Fennyx101" TargetMode="External"/><Relationship Id="rId1524" Type="http://schemas.openxmlformats.org/officeDocument/2006/relationships/hyperlink" Target="http://javiermarcosangulo.blogspot.com.es/" TargetMode="External"/><Relationship Id="rId1731" Type="http://schemas.openxmlformats.org/officeDocument/2006/relationships/hyperlink" Target="https://www.elmundo.es/espana/2018/12/03/5c05442321efa0cc3d8b46bc.html" TargetMode="External"/><Relationship Id="rId1969" Type="http://schemas.openxmlformats.org/officeDocument/2006/relationships/hyperlink" Target="http://www.techipresidenta.cat/" TargetMode="External"/><Relationship Id="rId23" Type="http://schemas.openxmlformats.org/officeDocument/2006/relationships/hyperlink" Target="http://www.eldiario.es/murcia/" TargetMode="External"/><Relationship Id="rId1829" Type="http://schemas.openxmlformats.org/officeDocument/2006/relationships/hyperlink" Target="https://pbs.twimg.com/media/DtgSeSXWwAQk5ZX.jpg" TargetMode="External"/><Relationship Id="rId2298" Type="http://schemas.openxmlformats.org/officeDocument/2006/relationships/hyperlink" Target="http://musiczine.es/" TargetMode="External"/><Relationship Id="rId172" Type="http://schemas.openxmlformats.org/officeDocument/2006/relationships/hyperlink" Target="http://www.theportadanews.com/" TargetMode="External"/><Relationship Id="rId477" Type="http://schemas.openxmlformats.org/officeDocument/2006/relationships/hyperlink" Target="https://pbs.twimg.com/media/Dtwnh2sWoAApBol.jpg" TargetMode="External"/><Relationship Id="rId684" Type="http://schemas.openxmlformats.org/officeDocument/2006/relationships/hyperlink" Target="http://rtve.es/a/4876445" TargetMode="External"/><Relationship Id="rId2060" Type="http://schemas.openxmlformats.org/officeDocument/2006/relationships/hyperlink" Target="https://www.instagram.com/cervantesfaqs/" TargetMode="External"/><Relationship Id="rId2158" Type="http://schemas.openxmlformats.org/officeDocument/2006/relationships/hyperlink" Target="http://viktormedina.eu/" TargetMode="External"/><Relationship Id="rId2365" Type="http://schemas.openxmlformats.org/officeDocument/2006/relationships/hyperlink" Target="https://www.ecorepublicano.es/2018/12/monumental-zasca-de-pablo-echenique.html" TargetMode="External"/><Relationship Id="rId337" Type="http://schemas.openxmlformats.org/officeDocument/2006/relationships/hyperlink" Target="https://www.elplural.com/politica/caja-b-partido-popular-congreso-diputados-comision-investigacion-villarejo-pablo-casado_207693102" TargetMode="External"/><Relationship Id="rId891" Type="http://schemas.openxmlformats.org/officeDocument/2006/relationships/hyperlink" Target="http://youtu.be/BvjhEjnibHA?a" TargetMode="External"/><Relationship Id="rId989" Type="http://schemas.openxmlformats.org/officeDocument/2006/relationships/hyperlink" Target="https://pbs.twimg.com/media/DtsDMf6WsAAVrZt.jpg" TargetMode="External"/><Relationship Id="rId2018" Type="http://schemas.openxmlformats.org/officeDocument/2006/relationships/hyperlink" Target="http://putopp.com/" TargetMode="External"/><Relationship Id="rId2572" Type="http://schemas.openxmlformats.org/officeDocument/2006/relationships/hyperlink" Target="https://pbs.twimg.com/media/DtZzOv2XcAAIzen.jpg" TargetMode="External"/><Relationship Id="rId544" Type="http://schemas.openxmlformats.org/officeDocument/2006/relationships/hyperlink" Target="http://www.lasexta.com/noticias/" TargetMode="External"/><Relationship Id="rId751" Type="http://schemas.openxmlformats.org/officeDocument/2006/relationships/hyperlink" Target="https://www.libertaddigital.com/espana/politica/2018-12-06/javier-fernandez-lasquetty-nuevo-jefe-de-gabinete-de-casado-1276629457/" TargetMode="External"/><Relationship Id="rId849" Type="http://schemas.openxmlformats.org/officeDocument/2006/relationships/hyperlink" Target="http://bit.ly/2so1fLQ" TargetMode="External"/><Relationship Id="rId1174" Type="http://schemas.openxmlformats.org/officeDocument/2006/relationships/hyperlink" Target="https://www.elmundo.es/espana/2018/12/05/5c06eb2afc6c839b5f8b4622.html" TargetMode="External"/><Relationship Id="rId1381" Type="http://schemas.openxmlformats.org/officeDocument/2006/relationships/hyperlink" Target="https://pbs.twimg.com/media/DtmOcTiWkAErKN9.jpg" TargetMode="External"/><Relationship Id="rId1479" Type="http://schemas.openxmlformats.org/officeDocument/2006/relationships/hyperlink" Target="https://contrainformacion.es/tratado-de-utrecht-dos/" TargetMode="External"/><Relationship Id="rId1686" Type="http://schemas.openxmlformats.org/officeDocument/2006/relationships/hyperlink" Target="http://carmeporta.bloc.cat/" TargetMode="External"/><Relationship Id="rId2225" Type="http://schemas.openxmlformats.org/officeDocument/2006/relationships/hyperlink" Target="https://www.instagram.com/pablobello/" TargetMode="External"/><Relationship Id="rId2432" Type="http://schemas.openxmlformats.org/officeDocument/2006/relationships/hyperlink" Target="https://www.eldiario.es/escolar/Pablo-Casado-Poder-Judicial-Cosido_6_838576166.html" TargetMode="External"/><Relationship Id="rId404" Type="http://schemas.openxmlformats.org/officeDocument/2006/relationships/hyperlink" Target="http://derechosocultosespana.blogspot.com.es/2018/05/mientras-no-consigamos-entre-todos-ese.html" TargetMode="External"/><Relationship Id="rId611" Type="http://schemas.openxmlformats.org/officeDocument/2006/relationships/hyperlink" Target="http://www.lextres.com/" TargetMode="External"/><Relationship Id="rId1034" Type="http://schemas.openxmlformats.org/officeDocument/2006/relationships/hyperlink" Target="https://www.elcomercio.es/asturias/pegollu-santiago-garcia-granda-madrenazu-pablo-casado-20181205190548-nt.html" TargetMode="External"/><Relationship Id="rId1241" Type="http://schemas.openxmlformats.org/officeDocument/2006/relationships/hyperlink" Target="https://buff.ly/2QcHY0h" TargetMode="External"/><Relationship Id="rId1339" Type="http://schemas.openxmlformats.org/officeDocument/2006/relationships/hyperlink" Target="https://twitter.com/NBCNews/status/1070019389473329152" TargetMode="External"/><Relationship Id="rId1893" Type="http://schemas.openxmlformats.org/officeDocument/2006/relationships/hyperlink" Target="https://www.elmundotoday.com/2018/10/pablo-casado-promete-descubrir-un-nuevo-continente-si-llega-a-la-presidencia/" TargetMode="External"/><Relationship Id="rId2737" Type="http://schemas.openxmlformats.org/officeDocument/2006/relationships/hyperlink" Target="https://smoda.elpais.com/feminismo/la-pesadilla-de-impedir-el-aborto-a-las-mujeres-es-el-mejor-fotolibro-del-ano/?id_externo_rsoc=TW_CM_SM" TargetMode="External"/><Relationship Id="rId709" Type="http://schemas.openxmlformats.org/officeDocument/2006/relationships/hyperlink" Target="https://pbs.twimg.com/media/DtvU1tWWsAIy6K9.jpg" TargetMode="External"/><Relationship Id="rId916" Type="http://schemas.openxmlformats.org/officeDocument/2006/relationships/hyperlink" Target="https://elpais.com/politica/2018/11/28/actualidad/1543422955_026078.html?id_externo_rsoc=TW_CC" TargetMode="External"/><Relationship Id="rId1101" Type="http://schemas.openxmlformats.org/officeDocument/2006/relationships/hyperlink" Target="https://www.lne.es/asturias/2018/12/05/asturianistas-le-dan-madrenazu-pablo/2391958.html" TargetMode="External"/><Relationship Id="rId1546" Type="http://schemas.openxmlformats.org/officeDocument/2006/relationships/hyperlink" Target="http://elconfidencial.com/" TargetMode="External"/><Relationship Id="rId1753" Type="http://schemas.openxmlformats.org/officeDocument/2006/relationships/hyperlink" Target="http://www.rtve.es/alacarta/videos/telediario/" TargetMode="External"/><Relationship Id="rId1960" Type="http://schemas.openxmlformats.org/officeDocument/2006/relationships/hyperlink" Target="http://facebook.com/" TargetMode="External"/><Relationship Id="rId2804" Type="http://schemas.openxmlformats.org/officeDocument/2006/relationships/hyperlink" Target="http://alexferduran.weebly.com/" TargetMode="External"/><Relationship Id="rId45" Type="http://schemas.openxmlformats.org/officeDocument/2006/relationships/hyperlink" Target="http://www.ppjumilla.es/" TargetMode="External"/><Relationship Id="rId1406" Type="http://schemas.openxmlformats.org/officeDocument/2006/relationships/hyperlink" Target="http://goo.gl/X7sgxF" TargetMode="External"/><Relationship Id="rId1613" Type="http://schemas.openxmlformats.org/officeDocument/2006/relationships/hyperlink" Target="https://pbs.twimg.com/media/DtkUujxWsAAS5eC.jpg" TargetMode="External"/><Relationship Id="rId1820" Type="http://schemas.openxmlformats.org/officeDocument/2006/relationships/hyperlink" Target="http://www.eldebatedehoy.es/" TargetMode="External"/><Relationship Id="rId194" Type="http://schemas.openxmlformats.org/officeDocument/2006/relationships/hyperlink" Target="http://hectorlima.com/" TargetMode="External"/><Relationship Id="rId1918" Type="http://schemas.openxmlformats.org/officeDocument/2006/relationships/hyperlink" Target="https://www.facebook.com/nuevasgeneracionesalmonte" TargetMode="External"/><Relationship Id="rId2082" Type="http://schemas.openxmlformats.org/officeDocument/2006/relationships/hyperlink" Target="https://twitter.com/ctxt_es/status/1069328493350199298" TargetMode="External"/><Relationship Id="rId261" Type="http://schemas.openxmlformats.org/officeDocument/2006/relationships/hyperlink" Target="http://www.rtve.es/" TargetMode="External"/><Relationship Id="rId499" Type="http://schemas.openxmlformats.org/officeDocument/2006/relationships/hyperlink" Target="https://www.elmundo.es/espana/2018/12/06/5c093b02fc6c83177e8b456f.html" TargetMode="External"/><Relationship Id="rId2387" Type="http://schemas.openxmlformats.org/officeDocument/2006/relationships/hyperlink" Target="https://www.youtube.com/watch?v=N5FNZoT-DMc" TargetMode="External"/><Relationship Id="rId2594" Type="http://schemas.openxmlformats.org/officeDocument/2006/relationships/hyperlink" Target="https://www.elmundo.es/espana/2018/12/02/5c02dc68fc6c83e67a8b45a2.html" TargetMode="External"/><Relationship Id="rId359" Type="http://schemas.openxmlformats.org/officeDocument/2006/relationships/hyperlink" Target="https://madrid.podemos.info/" TargetMode="External"/><Relationship Id="rId566" Type="http://schemas.openxmlformats.org/officeDocument/2006/relationships/hyperlink" Target="http://www.periodistadigital.com/politica/partidos-politicos/2018/12/06/pablo-casado-elige-a-javier-fernandez-lasquetty-como-jefe-de-gabinete.shtml" TargetMode="External"/><Relationship Id="rId773" Type="http://schemas.openxmlformats.org/officeDocument/2006/relationships/hyperlink" Target="http://www.antonionavia.com/" TargetMode="External"/><Relationship Id="rId1196" Type="http://schemas.openxmlformats.org/officeDocument/2006/relationships/hyperlink" Target="https://www.elmundo.es/espana/2018/12/05/5c06eb2afc6c839b5f8b4622.html" TargetMode="External"/><Relationship Id="rId2247" Type="http://schemas.openxmlformats.org/officeDocument/2006/relationships/hyperlink" Target="http://www.bodouakro.org/" TargetMode="External"/><Relationship Id="rId2454" Type="http://schemas.openxmlformats.org/officeDocument/2006/relationships/hyperlink" Target="http://cadenaser.com/ser/2018/11/30/politica/1543613809_281010.html?ssm=fb&amp;fbclid=IwAR0rvW8XL-eFQNibC9B28MSVfzVy5W8K0DAe8t3YGDvbn9iwiexC2g3Bxd8" TargetMode="External"/><Relationship Id="rId121" Type="http://schemas.openxmlformats.org/officeDocument/2006/relationships/hyperlink" Target="http://asambleademajaras.com/" TargetMode="External"/><Relationship Id="rId219" Type="http://schemas.openxmlformats.org/officeDocument/2006/relationships/hyperlink" Target="http://www.elplural.com/" TargetMode="External"/><Relationship Id="rId426" Type="http://schemas.openxmlformats.org/officeDocument/2006/relationships/hyperlink" Target="https://ppmadrid.es/" TargetMode="External"/><Relationship Id="rId633" Type="http://schemas.openxmlformats.org/officeDocument/2006/relationships/hyperlink" Target="https://www.elespanol.com/espana/politica/20181206/casado-excluye-vox-acuerdo-andalucia-negociacion-cs/358714839_0.amp.html?__twitter_impression=true" TargetMode="External"/><Relationship Id="rId980" Type="http://schemas.openxmlformats.org/officeDocument/2006/relationships/hyperlink" Target="https://www.elplural.com/politica/cis-valoracion-lideres-pablo-iglesias-pablo-casado-pedro-sanchez_207613102" TargetMode="External"/><Relationship Id="rId1056" Type="http://schemas.openxmlformats.org/officeDocument/2006/relationships/hyperlink" Target="http://www.plafarma.org/" TargetMode="External"/><Relationship Id="rId1263" Type="http://schemas.openxmlformats.org/officeDocument/2006/relationships/hyperlink" Target="http://dlvr.it/Qss7Ym" TargetMode="External"/><Relationship Id="rId2107" Type="http://schemas.openxmlformats.org/officeDocument/2006/relationships/hyperlink" Target="https://www.elmundo.es/andalucia/2018/12/02/5c042eda21efa030288b45c6.html" TargetMode="External"/><Relationship Id="rId2314" Type="http://schemas.openxmlformats.org/officeDocument/2006/relationships/hyperlink" Target="http://www.juancarlosromero.wordpress.com/" TargetMode="External"/><Relationship Id="rId2661" Type="http://schemas.openxmlformats.org/officeDocument/2006/relationships/hyperlink" Target="http://bit.ly/2zAdMC2" TargetMode="External"/><Relationship Id="rId2759" Type="http://schemas.openxmlformats.org/officeDocument/2006/relationships/hyperlink" Target="https://www.facebook.com/pages/El-currito-y-su-almohada/698512856891162" TargetMode="External"/><Relationship Id="rId840" Type="http://schemas.openxmlformats.org/officeDocument/2006/relationships/hyperlink" Target="https://pbs.twimg.com/media/DtupxB_WsAAG6cq.jpg" TargetMode="External"/><Relationship Id="rId938" Type="http://schemas.openxmlformats.org/officeDocument/2006/relationships/hyperlink" Target="http://www.libertaddigital.com/espana/politica/2018-12-06/javier-fernandez-lasquetty-nuevo-jefe-de-gabinete-de-casado-1276629457/" TargetMode="External"/><Relationship Id="rId1470" Type="http://schemas.openxmlformats.org/officeDocument/2006/relationships/hyperlink" Target="https://pbs.twimg.com/media/DtltrgNXcAE1BWt.jpg" TargetMode="External"/><Relationship Id="rId1568" Type="http://schemas.openxmlformats.org/officeDocument/2006/relationships/hyperlink" Target="https://www.diariodemallorca.es/cultura/2018/12/04/pablo-casado-enemigo-quiere-lapidar/1371752.html" TargetMode="External"/><Relationship Id="rId1775" Type="http://schemas.openxmlformats.org/officeDocument/2006/relationships/hyperlink" Target="https://www.facebook.com/eduardo.picchivergara" TargetMode="External"/><Relationship Id="rId2521" Type="http://schemas.openxmlformats.org/officeDocument/2006/relationships/hyperlink" Target="http://prnoticias.com/comunicacion/comunicacion-politica/20170924-los-bandazos-de-casado-de-diferenciar-al-pp-de-vox-a-abrirse-a-pactar" TargetMode="External"/><Relationship Id="rId2619" Type="http://schemas.openxmlformats.org/officeDocument/2006/relationships/hyperlink" Target="http://a.msn.com/01/es-es/BBQm5bJ?ocid=st" TargetMode="External"/><Relationship Id="rId67" Type="http://schemas.openxmlformats.org/officeDocument/2006/relationships/hyperlink" Target="http://mediterraneo.diario16.com/la-ignorancia-pablo-casado-no-sabe-una-republica/" TargetMode="External"/><Relationship Id="rId700" Type="http://schemas.openxmlformats.org/officeDocument/2006/relationships/hyperlink" Target="http://www.zapper.news/" TargetMode="External"/><Relationship Id="rId1123" Type="http://schemas.openxmlformats.org/officeDocument/2006/relationships/hyperlink" Target="https://ift.tt/2BRkzsL" TargetMode="External"/><Relationship Id="rId1330" Type="http://schemas.openxmlformats.org/officeDocument/2006/relationships/hyperlink" Target="http://www.elcorreodepozuelo.com/" TargetMode="External"/><Relationship Id="rId1428" Type="http://schemas.openxmlformats.org/officeDocument/2006/relationships/hyperlink" Target="https://pbs.twimg.com/media/Dtl92b8W0AAVVPc.jpg" TargetMode="External"/><Relationship Id="rId1635" Type="http://schemas.openxmlformats.org/officeDocument/2006/relationships/hyperlink" Target="http://www.linkedin.com/in/frubira" TargetMode="External"/><Relationship Id="rId1982" Type="http://schemas.openxmlformats.org/officeDocument/2006/relationships/hyperlink" Target="http://cabinaeneltiempo.blogspot.com/" TargetMode="External"/><Relationship Id="rId1842" Type="http://schemas.openxmlformats.org/officeDocument/2006/relationships/hyperlink" Target="http://elpais.com/autor/miguel_angel_medina/a/" TargetMode="External"/><Relationship Id="rId1702" Type="http://schemas.openxmlformats.org/officeDocument/2006/relationships/hyperlink" Target="http://pic.twitter.com/QFAB9ynVn0" TargetMode="External"/><Relationship Id="rId283" Type="http://schemas.openxmlformats.org/officeDocument/2006/relationships/hyperlink" Target="http://mediterraneo.diario16.com/la-ignorancia-pablo-casado-no-sabe-una-republica/" TargetMode="External"/><Relationship Id="rId490" Type="http://schemas.openxmlformats.org/officeDocument/2006/relationships/hyperlink" Target="https://www.elconfidencialdigital.com/articulo/el_chivato/ojo-pablo-casado-tiene-suerte/20181203185902118920.html" TargetMode="External"/><Relationship Id="rId2171" Type="http://schemas.openxmlformats.org/officeDocument/2006/relationships/hyperlink" Target="http://www.celtabaloncesto.com/" TargetMode="External"/><Relationship Id="rId143" Type="http://schemas.openxmlformats.org/officeDocument/2006/relationships/hyperlink" Target="http://www.multiforo.eu/" TargetMode="External"/><Relationship Id="rId350" Type="http://schemas.openxmlformats.org/officeDocument/2006/relationships/hyperlink" Target="https://www.elplural.com/politica/pablo-casado-albert-rivera-santiago-abascal-vox-pacto-andalucia_207684102" TargetMode="External"/><Relationship Id="rId588" Type="http://schemas.openxmlformats.org/officeDocument/2006/relationships/hyperlink" Target="http://pic.twitter.com/EiScugnZ25" TargetMode="External"/><Relationship Id="rId795" Type="http://schemas.openxmlformats.org/officeDocument/2006/relationships/hyperlink" Target="http://pic.twitter.com/V21MKcfZTa" TargetMode="External"/><Relationship Id="rId2031" Type="http://schemas.openxmlformats.org/officeDocument/2006/relationships/hyperlink" Target="https://blogs.deia.eus/bogandoporlared/2018/12/01/habra-valido-la-pena-pablo/" TargetMode="External"/><Relationship Id="rId2269" Type="http://schemas.openxmlformats.org/officeDocument/2006/relationships/hyperlink" Target="http://linkedin.com/in/manuelbonachela" TargetMode="External"/><Relationship Id="rId2476" Type="http://schemas.openxmlformats.org/officeDocument/2006/relationships/hyperlink" Target="https://youtu.be/HfS7U0nkrIU" TargetMode="External"/><Relationship Id="rId2683" Type="http://schemas.openxmlformats.org/officeDocument/2006/relationships/hyperlink" Target="http://quotidianum.blogalia.com/" TargetMode="External"/><Relationship Id="rId9" Type="http://schemas.openxmlformats.org/officeDocument/2006/relationships/hyperlink" Target="http://okdiario.com/" TargetMode="External"/><Relationship Id="rId210" Type="http://schemas.openxmlformats.org/officeDocument/2006/relationships/hyperlink" Target="http://pic.twitter.com/4g2AW0vDD3" TargetMode="External"/><Relationship Id="rId448" Type="http://schemas.openxmlformats.org/officeDocument/2006/relationships/hyperlink" Target="https://www.larazon.es/espana/defender-la-constitucion-por-pablo-casado-FP20854122" TargetMode="External"/><Relationship Id="rId655" Type="http://schemas.openxmlformats.org/officeDocument/2006/relationships/hyperlink" Target="http://www.europapress.es/andalucia/" TargetMode="External"/><Relationship Id="rId862" Type="http://schemas.openxmlformats.org/officeDocument/2006/relationships/hyperlink" Target="http://instagram.com/alebarfou/" TargetMode="External"/><Relationship Id="rId1078" Type="http://schemas.openxmlformats.org/officeDocument/2006/relationships/hyperlink" Target="http://epmundo.com/2018/contundente-pablo-casado-defiende-la-inviolabilidad-del-rey/?utm_source=twitter&amp;utm_medium=social&amp;utm_campaign=ReviveOldPost" TargetMode="External"/><Relationship Id="rId1285" Type="http://schemas.openxmlformats.org/officeDocument/2006/relationships/hyperlink" Target="https://www.elmundo.es/espana/2018/12/05/5c06eb2afc6c839b5f8b4622.html" TargetMode="External"/><Relationship Id="rId1492" Type="http://schemas.openxmlformats.org/officeDocument/2006/relationships/hyperlink" Target="http://www.multiforo.eu/" TargetMode="External"/><Relationship Id="rId2129" Type="http://schemas.openxmlformats.org/officeDocument/2006/relationships/hyperlink" Target="https://ift.tt/2RuHAqP" TargetMode="External"/><Relationship Id="rId2336" Type="http://schemas.openxmlformats.org/officeDocument/2006/relationships/hyperlink" Target="https://ppsevilla.com/pablo-casado-emplaza-a-juanma-moreno-a-liderar-el-cambio-en-andalucia/" TargetMode="External"/><Relationship Id="rId2543" Type="http://schemas.openxmlformats.org/officeDocument/2006/relationships/hyperlink" Target="http://ow.ly/t2Og30mPzYy" TargetMode="External"/><Relationship Id="rId2750" Type="http://schemas.openxmlformats.org/officeDocument/2006/relationships/hyperlink" Target="http://www.huffingtonpost.es/" TargetMode="External"/><Relationship Id="rId308" Type="http://schemas.openxmlformats.org/officeDocument/2006/relationships/hyperlink" Target="https://www.elplural.com/politica/caja-b-partido-popular-congreso-diputados-comision-investigacion-villarejo-pablo-casado_207693102" TargetMode="External"/><Relationship Id="rId515" Type="http://schemas.openxmlformats.org/officeDocument/2006/relationships/hyperlink" Target="https://m.eldiario.es/_324580bb" TargetMode="External"/><Relationship Id="rId722" Type="http://schemas.openxmlformats.org/officeDocument/2006/relationships/hyperlink" Target="http://www.eldiario.es/" TargetMode="External"/><Relationship Id="rId1145" Type="http://schemas.openxmlformats.org/officeDocument/2006/relationships/hyperlink" Target="https://www.facebook.com/kodiario/" TargetMode="External"/><Relationship Id="rId1352" Type="http://schemas.openxmlformats.org/officeDocument/2006/relationships/hyperlink" Target="https://pbs.twimg.com/media/DtmuARbXcAEm_84.jpg" TargetMode="External"/><Relationship Id="rId1797" Type="http://schemas.openxmlformats.org/officeDocument/2006/relationships/hyperlink" Target="http://www.elmundo.es/espana/2018/12/03/5c05442321efa0cc3d8b46bc.html" TargetMode="External"/><Relationship Id="rId2403" Type="http://schemas.openxmlformats.org/officeDocument/2006/relationships/hyperlink" Target="https://www.ecorepublicano.es/2018/12/monumental-zasca-de-pablo-echenique.html" TargetMode="External"/><Relationship Id="rId89" Type="http://schemas.openxmlformats.org/officeDocument/2006/relationships/hyperlink" Target="https://pbs.twimg.com/media/Dt5BhBZXQAApffE.jpg" TargetMode="External"/><Relationship Id="rId1005" Type="http://schemas.openxmlformats.org/officeDocument/2006/relationships/hyperlink" Target="http://www.elisadocio.com/" TargetMode="External"/><Relationship Id="rId1212" Type="http://schemas.openxmlformats.org/officeDocument/2006/relationships/hyperlink" Target="https://www.facebook.com/pablo.echenique/" TargetMode="External"/><Relationship Id="rId1657" Type="http://schemas.openxmlformats.org/officeDocument/2006/relationships/hyperlink" Target="https://www.lavanguardia.com/politica/20181204/453328510461/elecciones-andaluzas-pp-cs-vox-pacto-susana-diaz.html" TargetMode="External"/><Relationship Id="rId1864" Type="http://schemas.openxmlformats.org/officeDocument/2006/relationships/hyperlink" Target="http://fuckingmadrid.com/" TargetMode="External"/><Relationship Id="rId2610" Type="http://schemas.openxmlformats.org/officeDocument/2006/relationships/hyperlink" Target="http://www.facebook.com/mikytoytoy" TargetMode="External"/><Relationship Id="rId2708" Type="http://schemas.openxmlformats.org/officeDocument/2006/relationships/hyperlink" Target="https://www.publico.es/tremending/2018/11/30/hoy-en-parecidos-razonables-pablo-casado-y-albert-rivera-se-visten-exactamente-igual-el-mismo-dia/" TargetMode="External"/><Relationship Id="rId1517" Type="http://schemas.openxmlformats.org/officeDocument/2006/relationships/hyperlink" Target="https://pbs.twimg.com/media/DtlMprcW4AMJSWB.jpg" TargetMode="External"/><Relationship Id="rId1724" Type="http://schemas.openxmlformats.org/officeDocument/2006/relationships/hyperlink" Target="http://pic.twitter.com/f15zPYbZU9" TargetMode="External"/><Relationship Id="rId16" Type="http://schemas.openxmlformats.org/officeDocument/2006/relationships/hyperlink" Target="http://www.librediariodigital.net/texto-diario/mostrar/1207785/pablo-casado-hare-posible-impedir-salario-minimo-interprofesional-suba-900-euros" TargetMode="External"/><Relationship Id="rId1931" Type="http://schemas.openxmlformats.org/officeDocument/2006/relationships/hyperlink" Target="http://www.enfoquenoticias.com.mx/" TargetMode="External"/><Relationship Id="rId2193" Type="http://schemas.openxmlformats.org/officeDocument/2006/relationships/hyperlink" Target="http://curiouscat.me/fight0rdietryin" TargetMode="External"/><Relationship Id="rId2498" Type="http://schemas.openxmlformats.org/officeDocument/2006/relationships/hyperlink" Target="https://pbs.twimg.com/media/Dtar-x_XQAEOTTt.jpg" TargetMode="External"/><Relationship Id="rId165" Type="http://schemas.openxmlformats.org/officeDocument/2006/relationships/hyperlink" Target="http://paradigmadeactualidad.wordpress.com/" TargetMode="External"/><Relationship Id="rId372" Type="http://schemas.openxmlformats.org/officeDocument/2006/relationships/hyperlink" Target="http://www.madridesnoticia.es/" TargetMode="External"/><Relationship Id="rId677" Type="http://schemas.openxmlformats.org/officeDocument/2006/relationships/hyperlink" Target="https://pbs.twimg.com/media/DtvcupkU0AAdP6n.jpg" TargetMode="External"/><Relationship Id="rId2053" Type="http://schemas.openxmlformats.org/officeDocument/2006/relationships/hyperlink" Target="https://pbs.twimg.com/media/DtecRNYWoAAtCiv.jpg" TargetMode="External"/><Relationship Id="rId2260" Type="http://schemas.openxmlformats.org/officeDocument/2006/relationships/hyperlink" Target="https://pbs.twimg.com/media/DtcgACwWoAMCjFO.jpg" TargetMode="External"/><Relationship Id="rId2358" Type="http://schemas.openxmlformats.org/officeDocument/2006/relationships/hyperlink" Target="http://www.libertaddigital.com/" TargetMode="External"/><Relationship Id="rId232" Type="http://schemas.openxmlformats.org/officeDocument/2006/relationships/hyperlink" Target="http://mediterraneo.diario16.com/la-ignorancia-pablo-casado-no-sabe-una-republica/" TargetMode="External"/><Relationship Id="rId884" Type="http://schemas.openxmlformats.org/officeDocument/2006/relationships/hyperlink" Target="https://www.libertaddigital.com/espana/politica/2018-12-06/javier-fernandez-lasquetty-nuevo-jefe-de-gabinete-de-casado-1276629457/" TargetMode="External"/><Relationship Id="rId2120" Type="http://schemas.openxmlformats.org/officeDocument/2006/relationships/hyperlink" Target="http://www.elconfidencialdigital.com/" TargetMode="External"/><Relationship Id="rId2565" Type="http://schemas.openxmlformats.org/officeDocument/2006/relationships/hyperlink" Target="https://www.libertaddigital.com/espana/politica/2018-11-29/pablo-casado-esta-campana-es-importante-no-solo-para-andalucia-sino-para-echar-a-sanchez-de-moncloa-1276629056/" TargetMode="External"/><Relationship Id="rId2772" Type="http://schemas.openxmlformats.org/officeDocument/2006/relationships/hyperlink" Target="https://www.eljueves.es/news/albert-rivera-y-pablo-casado-intercambian-sus-vidas-durante-semana-y-nadie-se-da-cuenta_2734/amp?__twitter_impression=true" TargetMode="External"/><Relationship Id="rId537" Type="http://schemas.openxmlformats.org/officeDocument/2006/relationships/hyperlink" Target="https://ift.tt/2BW9aI3" TargetMode="External"/><Relationship Id="rId744" Type="http://schemas.openxmlformats.org/officeDocument/2006/relationships/hyperlink" Target="https://www.cope.es/n/305819" TargetMode="External"/><Relationship Id="rId951" Type="http://schemas.openxmlformats.org/officeDocument/2006/relationships/hyperlink" Target="http://www.libertaddigital.com/" TargetMode="External"/><Relationship Id="rId1167" Type="http://schemas.openxmlformats.org/officeDocument/2006/relationships/hyperlink" Target="http://epmundo.com/2018/contundente-pablo-casado-defiende-la-inviolabilidad-del-rey/" TargetMode="External"/><Relationship Id="rId1374" Type="http://schemas.openxmlformats.org/officeDocument/2006/relationships/hyperlink" Target="https://pbs.twimg.com/media/DtmX2nNXgAI9c9x.jpg" TargetMode="External"/><Relationship Id="rId1581" Type="http://schemas.openxmlformats.org/officeDocument/2006/relationships/hyperlink" Target="http://instagram.com/ja_jauregui" TargetMode="External"/><Relationship Id="rId1679" Type="http://schemas.openxmlformats.org/officeDocument/2006/relationships/hyperlink" Target="https://www.mundiario.com/articulo/politica/pablo-casado-albert-rivera-cambian-argumentos-despues-2-d/20181204002953139671.html" TargetMode="External"/><Relationship Id="rId2218" Type="http://schemas.openxmlformats.org/officeDocument/2006/relationships/hyperlink" Target="https://soundcloud.com/alexroga" TargetMode="External"/><Relationship Id="rId2425" Type="http://schemas.openxmlformats.org/officeDocument/2006/relationships/hyperlink" Target="https://www.elconfidencial.com/elecciones-andalucia/2018-12-02/pablo-casado-noche-electoral-pp_1681534/?utm_source=twitter&amp;utm_medium=social&amp;utm_campaign=ECDiarioManual" TargetMode="External"/><Relationship Id="rId2632" Type="http://schemas.openxmlformats.org/officeDocument/2006/relationships/hyperlink" Target="https://itunes.apple.com/es/book/gettysburg-1863/id665369445?mt=11" TargetMode="External"/><Relationship Id="rId80" Type="http://schemas.openxmlformats.org/officeDocument/2006/relationships/hyperlink" Target="https://www.elmundo.es/espana/2018/12/08/5c0adb54fdddffcc228b45f7.html" TargetMode="External"/><Relationship Id="rId604" Type="http://schemas.openxmlformats.org/officeDocument/2006/relationships/hyperlink" Target="https://twitter.com/pablocasado_/status/1070714511362002945" TargetMode="External"/><Relationship Id="rId811" Type="http://schemas.openxmlformats.org/officeDocument/2006/relationships/hyperlink" Target="https://pbs.twimg.com/media/Dtuu2Y8WwAAVN-T.jpg" TargetMode="External"/><Relationship Id="rId1027" Type="http://schemas.openxmlformats.org/officeDocument/2006/relationships/hyperlink" Target="https://www.elplural.com/politica/cis-valoracion-lideres-pablo-iglesias-pablo-casado-pedro-sanchez_207613102" TargetMode="External"/><Relationship Id="rId1234" Type="http://schemas.openxmlformats.org/officeDocument/2006/relationships/hyperlink" Target="https://ift.tt/2Sy0AF3" TargetMode="External"/><Relationship Id="rId1441" Type="http://schemas.openxmlformats.org/officeDocument/2006/relationships/hyperlink" Target="http://epmundo.com/2018/contundente-pablo-casado-defiende-la-inviolabilidad-del-rey/?utm_source=twitter&amp;utm_medium=social&amp;utm_campaign=ReviveOldPost" TargetMode="External"/><Relationship Id="rId1886" Type="http://schemas.openxmlformats.org/officeDocument/2006/relationships/hyperlink" Target="https://www.mallorcadiario.com/movil/noticia/487969/ibiza/pablo-casado:-en-balears-y-en-ibiza-hay-un-gobierno-de-perdedores.html" TargetMode="External"/><Relationship Id="rId909" Type="http://schemas.openxmlformats.org/officeDocument/2006/relationships/hyperlink" Target="https://elpais.com/politica/2018/11/28/actualidad/1543422955_026078.html?id_externo_rsoc=TW_CC" TargetMode="External"/><Relationship Id="rId1301" Type="http://schemas.openxmlformats.org/officeDocument/2006/relationships/hyperlink" Target="https://www.eljueves.es/news/pablo-casado-se-presenta-en-rueda-de-prensa-con-su-nuevo-uniforme_2639" TargetMode="External"/><Relationship Id="rId1539" Type="http://schemas.openxmlformats.org/officeDocument/2006/relationships/hyperlink" Target="http://www.lextres.com/" TargetMode="External"/><Relationship Id="rId1746" Type="http://schemas.openxmlformats.org/officeDocument/2006/relationships/hyperlink" Target="https://pbs.twimg.com/media/DthK8FrWsAMiCwx.jpg" TargetMode="External"/><Relationship Id="rId1953" Type="http://schemas.openxmlformats.org/officeDocument/2006/relationships/hyperlink" Target="https://www.merca2.es/ha-ganado-pablo/" TargetMode="External"/><Relationship Id="rId38" Type="http://schemas.openxmlformats.org/officeDocument/2006/relationships/hyperlink" Target="http://ver.20m.es/1kc5l3" TargetMode="External"/><Relationship Id="rId1606" Type="http://schemas.openxmlformats.org/officeDocument/2006/relationships/hyperlink" Target="http://listocomics.com/" TargetMode="External"/><Relationship Id="rId1813" Type="http://schemas.openxmlformats.org/officeDocument/2006/relationships/hyperlink" Target="https://www.facebook.com/eldiaperfecto102.3fm" TargetMode="External"/><Relationship Id="rId187" Type="http://schemas.openxmlformats.org/officeDocument/2006/relationships/hyperlink" Target="http://merianmi.wordpress.com/" TargetMode="External"/><Relationship Id="rId394" Type="http://schemas.openxmlformats.org/officeDocument/2006/relationships/hyperlink" Target="https://ift.tt/2RKUXmZ" TargetMode="External"/><Relationship Id="rId2075" Type="http://schemas.openxmlformats.org/officeDocument/2006/relationships/hyperlink" Target="http://noticiarioespanol.com/" TargetMode="External"/><Relationship Id="rId2282" Type="http://schemas.openxmlformats.org/officeDocument/2006/relationships/hyperlink" Target="https://pbs.twimg.com/media/DtcfoqYWoAAIOcB.jpg" TargetMode="External"/><Relationship Id="rId254" Type="http://schemas.openxmlformats.org/officeDocument/2006/relationships/hyperlink" Target="http://www.multiforo.eu/" TargetMode="External"/><Relationship Id="rId699" Type="http://schemas.openxmlformats.org/officeDocument/2006/relationships/hyperlink" Target="https://www.zapper.news/news?tpost=250810&amp;taccount=zapper_news" TargetMode="External"/><Relationship Id="rId1091" Type="http://schemas.openxmlformats.org/officeDocument/2006/relationships/hyperlink" Target="http://altnews.es/" TargetMode="External"/><Relationship Id="rId2587" Type="http://schemas.openxmlformats.org/officeDocument/2006/relationships/hyperlink" Target="http://www.elmundo.es/espana/2018/12/02/5c02dc68fc6c83e67a8b45a2.html" TargetMode="External"/><Relationship Id="rId2794" Type="http://schemas.openxmlformats.org/officeDocument/2006/relationships/hyperlink" Target="https://www.elmundo.es/espana/2018/12/01/5c01b033fc6c8300438b46f5.html" TargetMode="External"/><Relationship Id="rId114"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461" Type="http://schemas.openxmlformats.org/officeDocument/2006/relationships/hyperlink" Target="http://pic.twitter.com/4wYef9zLVw" TargetMode="External"/><Relationship Id="rId559" Type="http://schemas.openxmlformats.org/officeDocument/2006/relationships/hyperlink" Target="http://www.periodistadigital.com/politica/partidos-politicos/2018/12/06/pablo-casado-en-estos-momentos-vox-es-mas-trump-que-le-pen.shtml" TargetMode="External"/><Relationship Id="rId766" Type="http://schemas.openxmlformats.org/officeDocument/2006/relationships/hyperlink" Target="https://pbs.twimg.com/media/Dtu7rDCXQAIAc1H.jpg" TargetMode="External"/><Relationship Id="rId1189" Type="http://schemas.openxmlformats.org/officeDocument/2006/relationships/hyperlink" Target="https://www.elmundo.es/espana/2018/12/05/5c06eb2afc6c839b5f8b4622.html" TargetMode="External"/><Relationship Id="rId1396" Type="http://schemas.openxmlformats.org/officeDocument/2006/relationships/hyperlink" Target="https://www.elmundo.es/espana/2018/12/04/5c067532fc6c83df478b45a2.html" TargetMode="External"/><Relationship Id="rId2142" Type="http://schemas.openxmlformats.org/officeDocument/2006/relationships/hyperlink" Target="https://pbs.twimg.com/media/DtcmgvkXgAAttuh.jpg" TargetMode="External"/><Relationship Id="rId2447" Type="http://schemas.openxmlformats.org/officeDocument/2006/relationships/hyperlink" Target="https://twitter.com/pnique/status/1068824835139268608" TargetMode="External"/><Relationship Id="rId321" Type="http://schemas.openxmlformats.org/officeDocument/2006/relationships/hyperlink" Target="http://nitronux.blogspot.com.es/" TargetMode="External"/><Relationship Id="rId419" Type="http://schemas.openxmlformats.org/officeDocument/2006/relationships/hyperlink" Target="https://pbs.twimg.com/media/DtxTmO4X4AA32gX.jpg" TargetMode="External"/><Relationship Id="rId626" Type="http://schemas.openxmlformats.org/officeDocument/2006/relationships/hyperlink" Target="https://pbs.twimg.com/media/DtvqKx0XcAIzcNl.jpg" TargetMode="External"/><Relationship Id="rId973" Type="http://schemas.openxmlformats.org/officeDocument/2006/relationships/hyperlink" Target="http://youtu.be/tEDxmRkm-uw?a" TargetMode="External"/><Relationship Id="rId1049" Type="http://schemas.openxmlformats.org/officeDocument/2006/relationships/hyperlink" Target="https://pbs.twimg.com/media/Dtq24wEWwAMQOXw.jpg" TargetMode="External"/><Relationship Id="rId1256" Type="http://schemas.openxmlformats.org/officeDocument/2006/relationships/hyperlink" Target="https://pbs.twimg.com/media/DtokcuMWsAAmTTG.jpg" TargetMode="External"/><Relationship Id="rId2002" Type="http://schemas.openxmlformats.org/officeDocument/2006/relationships/hyperlink" Target="http://pic.twitter.com/SmFHB9RbLp" TargetMode="External"/><Relationship Id="rId2307" Type="http://schemas.openxmlformats.org/officeDocument/2006/relationships/hyperlink" Target="http://www.losotros18.com/liga-bbva/malaga/" TargetMode="External"/><Relationship Id="rId2654" Type="http://schemas.openxmlformats.org/officeDocument/2006/relationships/hyperlink" Target="https://www.eljueves.es/news/albert-rivera-y-pablo-casado-intercambian-sus-vidas-durante-semana-y-nadie-se-da-cuenta_2734" TargetMode="External"/><Relationship Id="rId833" Type="http://schemas.openxmlformats.org/officeDocument/2006/relationships/hyperlink" Target="https://www.abc.es/espana/abci-otegi-no-poner-foco-sino-casado-201812051118_video.html" TargetMode="External"/><Relationship Id="rId1116" Type="http://schemas.openxmlformats.org/officeDocument/2006/relationships/hyperlink" Target="http://epmundo.com/2018/contundente-pablo-casado-defiende-la-inviolabilidad-del-rey/" TargetMode="External"/><Relationship Id="rId1463" Type="http://schemas.openxmlformats.org/officeDocument/2006/relationships/hyperlink" Target="http://epmundo.com/espana" TargetMode="External"/><Relationship Id="rId1670" Type="http://schemas.openxmlformats.org/officeDocument/2006/relationships/hyperlink" Target="http://www.elmundo.es/espana.html" TargetMode="External"/><Relationship Id="rId1768" Type="http://schemas.openxmlformats.org/officeDocument/2006/relationships/hyperlink" Target="http://www.dlacalle.com/" TargetMode="External"/><Relationship Id="rId2514" Type="http://schemas.openxmlformats.org/officeDocument/2006/relationships/hyperlink" Target="https://carlosvquez.blogspot.com.es/" TargetMode="External"/><Relationship Id="rId2721" Type="http://schemas.openxmlformats.org/officeDocument/2006/relationships/hyperlink" Target="http://gente.abc.es/9cmbm4" TargetMode="External"/><Relationship Id="rId900" Type="http://schemas.openxmlformats.org/officeDocument/2006/relationships/hyperlink" Target="http://page.is/bertlem-vl" TargetMode="External"/><Relationship Id="rId1323" Type="http://schemas.openxmlformats.org/officeDocument/2006/relationships/hyperlink" Target="http://epmundo.com/" TargetMode="External"/><Relationship Id="rId1530" Type="http://schemas.openxmlformats.org/officeDocument/2006/relationships/hyperlink" Target="http://www.urbanroosters.com/" TargetMode="External"/><Relationship Id="rId1628" Type="http://schemas.openxmlformats.org/officeDocument/2006/relationships/hyperlink" Target="https://pbs.twimg.com/media/DtkEKNsW0AEx-P3.jpg" TargetMode="External"/><Relationship Id="rId1975" Type="http://schemas.openxmlformats.org/officeDocument/2006/relationships/hyperlink" Target="https://www.elplural.com/politica/pablo-casado-debe-gobernar-la-lista-mas-votada-porque-los-ciudadanos-deciden-con-su-voto_207439102" TargetMode="External"/><Relationship Id="rId1835" Type="http://schemas.openxmlformats.org/officeDocument/2006/relationships/hyperlink" Target="http://elpais.com/autor/miguel_angel_medina/a/" TargetMode="External"/><Relationship Id="rId1902" Type="http://schemas.openxmlformats.org/officeDocument/2006/relationships/hyperlink" Target="https://www.galiciae.com/blog/miguel-olarte/soberbia/20181202151507047608.html" TargetMode="External"/><Relationship Id="rId2097" Type="http://schemas.openxmlformats.org/officeDocument/2006/relationships/hyperlink" Target="http://www.alcantarillasocial.com/author/xuxipc/" TargetMode="External"/><Relationship Id="rId276" Type="http://schemas.openxmlformats.org/officeDocument/2006/relationships/hyperlink" Target="https://pbs.twimg.com/media/Dt0YKxJWsAAd5N6.jpg" TargetMode="External"/><Relationship Id="rId483" Type="http://schemas.openxmlformats.org/officeDocument/2006/relationships/hyperlink" Target="http://www.vozpopuli.com/" TargetMode="External"/><Relationship Id="rId690" Type="http://schemas.openxmlformats.org/officeDocument/2006/relationships/hyperlink" Target="http://eleanor-viviendo.blogspot.com/" TargetMode="External"/><Relationship Id="rId2164" Type="http://schemas.openxmlformats.org/officeDocument/2006/relationships/hyperlink" Target="http://aragon.ciudadanos-cs.org/" TargetMode="External"/><Relationship Id="rId2371" Type="http://schemas.openxmlformats.org/officeDocument/2006/relationships/hyperlink" Target="https://twitter.com/Mhemeroteca/status/1069343743508193280" TargetMode="External"/><Relationship Id="rId136" Type="http://schemas.openxmlformats.org/officeDocument/2006/relationships/hyperlink" Target="https://twitter.com/i/moments/993113650352279552" TargetMode="External"/><Relationship Id="rId343" Type="http://schemas.openxmlformats.org/officeDocument/2006/relationships/hyperlink" Target="http://www.acmartinez96.blogspot.com.es/" TargetMode="External"/><Relationship Id="rId550" Type="http://schemas.openxmlformats.org/officeDocument/2006/relationships/hyperlink" Target="http://dlvr.it/Qt0Gky" TargetMode="External"/><Relationship Id="rId788" Type="http://schemas.openxmlformats.org/officeDocument/2006/relationships/hyperlink" Target="https://www.lavanguardia.com/politica/20181206/453390318753/debate-pp-estrategia-vox-elecciones-andaluzas-pablo-casado.html" TargetMode="External"/><Relationship Id="rId995" Type="http://schemas.openxmlformats.org/officeDocument/2006/relationships/hyperlink" Target="https://pbs.twimg.com/media/Dtr02NKWsAEJevg.jpg" TargetMode="External"/><Relationship Id="rId1180" Type="http://schemas.openxmlformats.org/officeDocument/2006/relationships/hyperlink" Target="http://www.elmundo.es/comunidad-valenciana/castellon.html" TargetMode="External"/><Relationship Id="rId2024" Type="http://schemas.openxmlformats.org/officeDocument/2006/relationships/hyperlink" Target="http://cadenaser.com/programa/2018/11/29/hora_25/1543522774_429145.html" TargetMode="External"/><Relationship Id="rId2231" Type="http://schemas.openxmlformats.org/officeDocument/2006/relationships/hyperlink" Target="http://bit.ly/2ADGMbQ" TargetMode="External"/><Relationship Id="rId2469" Type="http://schemas.openxmlformats.org/officeDocument/2006/relationships/hyperlink" Target="https://twitter.com/WillyTolerdoo/status/1069236165226741760" TargetMode="External"/><Relationship Id="rId2676" Type="http://schemas.openxmlformats.org/officeDocument/2006/relationships/hyperlink" Target="https://twitter.com/SergiAG_/status/1068942685074001920" TargetMode="External"/><Relationship Id="rId203" Type="http://schemas.openxmlformats.org/officeDocument/2006/relationships/hyperlink" Target="http://alcantarillasocial.com/author/protestona1" TargetMode="External"/><Relationship Id="rId648" Type="http://schemas.openxmlformats.org/officeDocument/2006/relationships/hyperlink" Target="http://partidorepes.wordpress.com/" TargetMode="External"/><Relationship Id="rId855" Type="http://schemas.openxmlformats.org/officeDocument/2006/relationships/hyperlink" Target="http://www.larazon.es/" TargetMode="External"/><Relationship Id="rId1040" Type="http://schemas.openxmlformats.org/officeDocument/2006/relationships/hyperlink" Target="https://contrainformacion.es/tratado-de-utrecht-dos/" TargetMode="External"/><Relationship Id="rId1278" Type="http://schemas.openxmlformats.org/officeDocument/2006/relationships/hyperlink" Target="https://www.elmundo.es/espana/2018/12/05/5c06eb2afc6c839b5f8b4622.html" TargetMode="External"/><Relationship Id="rId1485" Type="http://schemas.openxmlformats.org/officeDocument/2006/relationships/hyperlink" Target="https://noticiasvenezuela.co/2018/12/04/contundente-pablo-casado-defiende-la-inviolabilidad-del-rey/" TargetMode="External"/><Relationship Id="rId1692" Type="http://schemas.openxmlformats.org/officeDocument/2006/relationships/hyperlink" Target="https://pbs.twimg.com/media/Dti9wy4WsAAUgXC.jpg" TargetMode="External"/><Relationship Id="rId2329" Type="http://schemas.openxmlformats.org/officeDocument/2006/relationships/hyperlink" Target="http://pic.twitter.com/sV48Pagc9q" TargetMode="External"/><Relationship Id="rId2536" Type="http://schemas.openxmlformats.org/officeDocument/2006/relationships/hyperlink" Target="https://youtu.be/8fpRr-yYJwY" TargetMode="External"/><Relationship Id="rId2743" Type="http://schemas.openxmlformats.org/officeDocument/2006/relationships/hyperlink" Target="https://www.publico.es/tremending/2018/11/30/hoy-en-parecidos-razonables-pablo-casado-y-albert-rivera-se-visten-exactamente-igual-el-mismo-dia/" TargetMode="External"/><Relationship Id="rId410" Type="http://schemas.openxmlformats.org/officeDocument/2006/relationships/hyperlink" Target="https://pbs.twimg.com/media/DtxX-mXVsAAJz9p.jpg" TargetMode="External"/><Relationship Id="rId508" Type="http://schemas.openxmlformats.org/officeDocument/2006/relationships/hyperlink" Target="http://lrzn.es/mbk7h7" TargetMode="External"/><Relationship Id="rId715" Type="http://schemas.openxmlformats.org/officeDocument/2006/relationships/hyperlink" Target="https://pbs.twimg.com/media/DtvUGqiVYAAPs49.jpg" TargetMode="External"/><Relationship Id="rId922" Type="http://schemas.openxmlformats.org/officeDocument/2006/relationships/hyperlink" Target="https://abiertopp.es/" TargetMode="External"/><Relationship Id="rId1138" Type="http://schemas.openxmlformats.org/officeDocument/2006/relationships/hyperlink" Target="http://www.diariocordoba.com/" TargetMode="External"/><Relationship Id="rId1345" Type="http://schemas.openxmlformats.org/officeDocument/2006/relationships/hyperlink" Target="http://epmundo.com/" TargetMode="External"/><Relationship Id="rId1552" Type="http://schemas.openxmlformats.org/officeDocument/2006/relationships/hyperlink" Target="https://www.elconfidencial.com/elecciones-andalucia/2018-12-04/elecciones-andalucia-pablo-casado-pp-vox-ciudadanos_1685222/?utm_campaign=BotoneraWebapp&amp;utm_source=twitter&amp;utm_medium=social" TargetMode="External"/><Relationship Id="rId1997" Type="http://schemas.openxmlformats.org/officeDocument/2006/relationships/hyperlink" Target="https://www.youtube.com/channel/UC2OPRvShCwMeO__KHVyPl9w?sub_confirmation=1" TargetMode="External"/><Relationship Id="rId2603" Type="http://schemas.openxmlformats.org/officeDocument/2006/relationships/hyperlink" Target="https://www.elmundo.es/espana/2018/12/02/5c02dc68fc6c83e67a8b45a2.html" TargetMode="External"/><Relationship Id="rId1205" Type="http://schemas.openxmlformats.org/officeDocument/2006/relationships/hyperlink" Target="https://www.elmundo.es/espana/2018/12/05/5c06eb2afc6c839b5f8b4622.html" TargetMode="External"/><Relationship Id="rId1857" Type="http://schemas.openxmlformats.org/officeDocument/2006/relationships/hyperlink" Target="https://pbs.twimg.com/media/DtgQ4IjWkAAATEs.jpg" TargetMode="External"/><Relationship Id="rId51" Type="http://schemas.openxmlformats.org/officeDocument/2006/relationships/hyperlink" Target="http://www.efe.com/" TargetMode="External"/><Relationship Id="rId1412" Type="http://schemas.openxmlformats.org/officeDocument/2006/relationships/hyperlink" Target="http://www.esdiario.com/" TargetMode="External"/><Relationship Id="rId1717" Type="http://schemas.openxmlformats.org/officeDocument/2006/relationships/hyperlink" Target="https://www.plateamagazine.com/noticias/5746-pablo-heras-casado-distinguido-como-caballero-de-la-orden-de-las-artes-y-las-letras-de-francia" TargetMode="External"/><Relationship Id="rId1924" Type="http://schemas.openxmlformats.org/officeDocument/2006/relationships/hyperlink" Target="http://www.nngglarioja.es/" TargetMode="External"/><Relationship Id="rId298" Type="http://schemas.openxmlformats.org/officeDocument/2006/relationships/hyperlink" Target="http://lavozdelsur.es/" TargetMode="External"/><Relationship Id="rId158" Type="http://schemas.openxmlformats.org/officeDocument/2006/relationships/hyperlink" Target="http://youtu.be/Vq30nSL6ypc?a" TargetMode="External"/><Relationship Id="rId2186" Type="http://schemas.openxmlformats.org/officeDocument/2006/relationships/hyperlink" Target="http://www.calabuch.com/" TargetMode="External"/><Relationship Id="rId2393" Type="http://schemas.openxmlformats.org/officeDocument/2006/relationships/hyperlink" Target="https://www.lne.es/espana/2018/12/02/pp-pedira-apoyo-vox-suman/2390338.html" TargetMode="External"/><Relationship Id="rId2698" Type="http://schemas.openxmlformats.org/officeDocument/2006/relationships/hyperlink" Target="https://bit.ly/2KKq1DR" TargetMode="External"/><Relationship Id="rId365" Type="http://schemas.openxmlformats.org/officeDocument/2006/relationships/hyperlink" Target="http://www.elmundo.es/espana.html" TargetMode="External"/><Relationship Id="rId572" Type="http://schemas.openxmlformats.org/officeDocument/2006/relationships/hyperlink" Target="https://www.eldiario.es/_324581a7" TargetMode="External"/><Relationship Id="rId2046" Type="http://schemas.openxmlformats.org/officeDocument/2006/relationships/hyperlink" Target="http://www.losreplicantes.com/" TargetMode="External"/><Relationship Id="rId2253" Type="http://schemas.openxmlformats.org/officeDocument/2006/relationships/hyperlink" Target="http://www.pressdigital.es/" TargetMode="External"/><Relationship Id="rId2460" Type="http://schemas.openxmlformats.org/officeDocument/2006/relationships/hyperlink" Target="https://pbs.twimg.com/media/DtRe9GSWkAAnyDw.jpg" TargetMode="External"/><Relationship Id="rId225" Type="http://schemas.openxmlformats.org/officeDocument/2006/relationships/hyperlink" Target="https://www.youtube.com/channel/UCzAeV22GnQxwUBokDOEyb4A" TargetMode="External"/><Relationship Id="rId432" Type="http://schemas.openxmlformats.org/officeDocument/2006/relationships/hyperlink" Target="https://www.mundiario.com/seccion/galicia" TargetMode="External"/><Relationship Id="rId877" Type="http://schemas.openxmlformats.org/officeDocument/2006/relationships/hyperlink" Target="https://www.lasexta.com/noticias/nacional/el-dardo-de-celia-villalobos-a-pablo-casado-yo-creia-que-el-no-era-de-extrema-derecha-pero-si-lo-son-muchos-de-quienes-le-rodean_201807205b51c34f0cf21229bb4f84ff.html" TargetMode="External"/><Relationship Id="rId1062" Type="http://schemas.openxmlformats.org/officeDocument/2006/relationships/hyperlink" Target="https://frml.tv/86708" TargetMode="External"/><Relationship Id="rId2113" Type="http://schemas.openxmlformats.org/officeDocument/2006/relationships/hyperlink" Target="https://stardustmiblog.blogspot.com/?m=1" TargetMode="External"/><Relationship Id="rId2320" Type="http://schemas.openxmlformats.org/officeDocument/2006/relationships/hyperlink" Target="http://pic.twitter.com/l2EK7SV4BL" TargetMode="External"/><Relationship Id="rId2558" Type="http://schemas.openxmlformats.org/officeDocument/2006/relationships/hyperlink" Target="https://www.elmundo.es/espana/2018/12/02/5c02dc68fc6c83e67a8b45a2.html" TargetMode="External"/><Relationship Id="rId2765" Type="http://schemas.openxmlformats.org/officeDocument/2006/relationships/hyperlink" Target="http://pic.twitter.com/ADcZEPpaU8" TargetMode="External"/><Relationship Id="rId737" Type="http://schemas.openxmlformats.org/officeDocument/2006/relationships/hyperlink" Target="http://quemecuentatwitter.blogspot.com.es/" TargetMode="External"/><Relationship Id="rId944" Type="http://schemas.openxmlformats.org/officeDocument/2006/relationships/hyperlink" Target="https://www.lavanguardia.com/politica/20181206/453390318753/debate-pp-estrategia-vox-elecciones-andaluzas-pablo-casado.html?utm_campaign=botones_sociales_app" TargetMode="External"/><Relationship Id="rId1367" Type="http://schemas.openxmlformats.org/officeDocument/2006/relationships/hyperlink" Target="https://www.eldiario.es/escolar/mentiras-Pablo-Casado-Gurtel-Irak_6_828777140.html" TargetMode="External"/><Relationship Id="rId1574" Type="http://schemas.openxmlformats.org/officeDocument/2006/relationships/hyperlink" Target="https://www.europapress.es/nacional/noticia-psoe-carga-contra-comision-tesis-sanchez-senado-erc-baraja-pedir-declare-pablo-casado-20181204132621.html" TargetMode="External"/><Relationship Id="rId1781" Type="http://schemas.openxmlformats.org/officeDocument/2006/relationships/hyperlink" Target="https://www.elmundo.es/espana/2018/12/03/5c05442321efa0cc3d8b46bc.html" TargetMode="External"/><Relationship Id="rId2418" Type="http://schemas.openxmlformats.org/officeDocument/2006/relationships/hyperlink" Target="http://esunnoparar.blogspot.com/" TargetMode="External"/><Relationship Id="rId2625" Type="http://schemas.openxmlformats.org/officeDocument/2006/relationships/hyperlink" Target="https://www.elmundo.es/espana/2018/12/02/5c02dc68fc6c83e67a8b45a2.html" TargetMode="External"/><Relationship Id="rId73" Type="http://schemas.openxmlformats.org/officeDocument/2006/relationships/hyperlink" Target="http://madrid.democraciarealya.es/" TargetMode="External"/><Relationship Id="rId804" Type="http://schemas.openxmlformats.org/officeDocument/2006/relationships/hyperlink" Target="https://www.larazon.es/espana/defender-la-constitucion-por-pablo-casado-FP20854122" TargetMode="External"/><Relationship Id="rId1227" Type="http://schemas.openxmlformats.org/officeDocument/2006/relationships/hyperlink" Target="http://www.eternidadesypegos.blogspot.com/" TargetMode="External"/><Relationship Id="rId1434" Type="http://schemas.openxmlformats.org/officeDocument/2006/relationships/hyperlink" Target="http://atres.red/rqoqg220" TargetMode="External"/><Relationship Id="rId1641" Type="http://schemas.openxmlformats.org/officeDocument/2006/relationships/hyperlink" Target="https://www.elnacional.cat/enblau/es/television/pablo-casado-albert-rivera-esta-passant-marc-giro-vestidos-iguales_331281_102.html" TargetMode="External"/><Relationship Id="rId1879" Type="http://schemas.openxmlformats.org/officeDocument/2006/relationships/hyperlink" Target="https://tv.libertaddigital.com/videos/2018-12-03/pablo-casado-defiende-el-pacto-del-pp-con-vox-6067298.html" TargetMode="External"/><Relationship Id="rId1501" Type="http://schemas.openxmlformats.org/officeDocument/2006/relationships/hyperlink" Target="http://ignacioromero.blogspot.com/" TargetMode="External"/><Relationship Id="rId1739" Type="http://schemas.openxmlformats.org/officeDocument/2006/relationships/hyperlink" Target="https://pbs.twimg.com/media/DthOEMRWkAQP7LD.jpg" TargetMode="External"/><Relationship Id="rId1946" Type="http://schemas.openxmlformats.org/officeDocument/2006/relationships/hyperlink" Target="http://abc.es/" TargetMode="External"/><Relationship Id="rId1806" Type="http://schemas.openxmlformats.org/officeDocument/2006/relationships/hyperlink" Target="https://twitter.com/pablocasado_/status/1069614280880861190" TargetMode="External"/><Relationship Id="rId387" Type="http://schemas.openxmlformats.org/officeDocument/2006/relationships/hyperlink" Target="https://www.elmundo.es/espana/2018/12/07/5c099cb5fdddff55468b474e.html" TargetMode="External"/><Relationship Id="rId594" Type="http://schemas.openxmlformats.org/officeDocument/2006/relationships/hyperlink" Target="https://m.eldiario.es/politica/Casado-Javier-Lasquetty-Aguirre-Gabinete_0_843415739.html" TargetMode="External"/><Relationship Id="rId2068" Type="http://schemas.openxmlformats.org/officeDocument/2006/relationships/hyperlink" Target="https://www.20minutos.es/" TargetMode="External"/><Relationship Id="rId2275" Type="http://schemas.openxmlformats.org/officeDocument/2006/relationships/hyperlink" Target="https://www.youtube.com/watch?v=h3S67Pl4Dik" TargetMode="External"/><Relationship Id="rId247" Type="http://schemas.openxmlformats.org/officeDocument/2006/relationships/hyperlink" Target="http://www.publico.es/" TargetMode="External"/><Relationship Id="rId899" Type="http://schemas.openxmlformats.org/officeDocument/2006/relationships/hyperlink" Target="https://www.libertaddigital.com/espana/politica/2018-12-06/javier-fernandez-lasquetty-nuevo-jefe-de-gabinete-de-casado-1276629457/" TargetMode="External"/><Relationship Id="rId1084" Type="http://schemas.openxmlformats.org/officeDocument/2006/relationships/hyperlink" Target="http://www.eldebatedehoy.es/" TargetMode="External"/><Relationship Id="rId2482" Type="http://schemas.openxmlformats.org/officeDocument/2006/relationships/hyperlink" Target="https://pbs.twimg.com/media/Dtazay8WkAAK_cj.jpg" TargetMode="External"/><Relationship Id="rId2787" Type="http://schemas.openxmlformats.org/officeDocument/2006/relationships/hyperlink" Target="https://www.eljueves.es/news/albert-rivera-y-pablo-casado-intercambian-sus-vidas-durante-semana-y-nadie-se-da-cuenta_2734" TargetMode="External"/><Relationship Id="rId107" Type="http://schemas.openxmlformats.org/officeDocument/2006/relationships/hyperlink" Target="http://ow.ly/YuNR30mUajV" TargetMode="External"/><Relationship Id="rId454" Type="http://schemas.openxmlformats.org/officeDocument/2006/relationships/hyperlink" Target="https://ift.tt/2zL8ROF" TargetMode="External"/><Relationship Id="rId661" Type="http://schemas.openxmlformats.org/officeDocument/2006/relationships/hyperlink" Target="https://www.elmundo.es/espana/2018/12/06/5c093b02fc6c83177e8b456f.html" TargetMode="External"/><Relationship Id="rId759" Type="http://schemas.openxmlformats.org/officeDocument/2006/relationships/hyperlink" Target="https://m.eldiario.es/_324580bb" TargetMode="External"/><Relationship Id="rId966" Type="http://schemas.openxmlformats.org/officeDocument/2006/relationships/hyperlink" Target="https://www.lavanguardia.com/politica/20181206/453390318753/debate-pp-estrategia-vox-elecciones-andaluzas-pablo-casado.html?utm_source=twitter_lv&amp;utm_medium=social" TargetMode="External"/><Relationship Id="rId1291" Type="http://schemas.openxmlformats.org/officeDocument/2006/relationships/hyperlink" Target="http://epmundo.com/2018/contundente-pablo-casado-defiende-la-inviolabilidad-del-rey/?utm_source=twitter&amp;utm_medium=social&amp;utm_campaign=ReviveOldPost" TargetMode="External"/><Relationship Id="rId1389" Type="http://schemas.openxmlformats.org/officeDocument/2006/relationships/hyperlink" Target="http://www.scherzo.es/content/pablo-heras-casado-caballero-de-la-orden-de-las-artes-y-las-letras" TargetMode="External"/><Relationship Id="rId1596" Type="http://schemas.openxmlformats.org/officeDocument/2006/relationships/hyperlink" Target="https://www.facebook.com/pablo.echenique/" TargetMode="External"/><Relationship Id="rId2135" Type="http://schemas.openxmlformats.org/officeDocument/2006/relationships/hyperlink" Target="https://www.lavanguardia.com/politica/20181202/453290949545/elecciones-andaluzas-pablo-casado-pedro-sanchez-elecciones.html?utm_source=twitter_lv&amp;utm_medium=social" TargetMode="External"/><Relationship Id="rId2342" Type="http://schemas.openxmlformats.org/officeDocument/2006/relationships/hyperlink" Target="https://twitter.com/pablocasado_/status/876818782030835712?s=21" TargetMode="External"/><Relationship Id="rId2647" Type="http://schemas.openxmlformats.org/officeDocument/2006/relationships/hyperlink" Target="http://wikyou.net/forMA8/" TargetMode="External"/><Relationship Id="rId314" Type="http://schemas.openxmlformats.org/officeDocument/2006/relationships/hyperlink" Target="https://www.hispanidad.com/confidencial/el-problema-de-pablo-casado-si-puedes-votar-a-ciudadanos-o-a-vox-por-que-vas-a-votar-al-pp_12006027_102.html" TargetMode="External"/><Relationship Id="rId521" Type="http://schemas.openxmlformats.org/officeDocument/2006/relationships/hyperlink" Target="http://www.publico.es/" TargetMode="External"/><Relationship Id="rId619" Type="http://schemas.openxmlformats.org/officeDocument/2006/relationships/hyperlink" Target="https://www.eldiario.es/_324580bb" TargetMode="External"/><Relationship Id="rId1151" Type="http://schemas.openxmlformats.org/officeDocument/2006/relationships/hyperlink" Target="http://www.eldebatedehoy.es/" TargetMode="External"/><Relationship Id="rId1249" Type="http://schemas.openxmlformats.org/officeDocument/2006/relationships/hyperlink" Target="http://epmundo.com/" TargetMode="External"/><Relationship Id="rId2202" Type="http://schemas.openxmlformats.org/officeDocument/2006/relationships/hyperlink" Target="https://www.instagram.com/pablo.b.g" TargetMode="External"/><Relationship Id="rId95" Type="http://schemas.openxmlformats.org/officeDocument/2006/relationships/hyperlink" Target="https://pbs.twimg.com/media/DtxBxtmW0AA_D0L.jpg" TargetMode="External"/><Relationship Id="rId826" Type="http://schemas.openxmlformats.org/officeDocument/2006/relationships/hyperlink" Target="https://www.spreaker.com/user/radiocable" TargetMode="External"/><Relationship Id="rId1011" Type="http://schemas.openxmlformats.org/officeDocument/2006/relationships/hyperlink" Target="http://youtu.be/9Hg8oSA_BmY?a" TargetMode="External"/><Relationship Id="rId1109" Type="http://schemas.openxmlformats.org/officeDocument/2006/relationships/hyperlink" Target="https://pbs.twimg.com/media/Dtp51JSXgAA7eV1.jpg" TargetMode="External"/><Relationship Id="rId1456" Type="http://schemas.openxmlformats.org/officeDocument/2006/relationships/hyperlink" Target="https://www.elconfidencial.com/elecciones-andalucia/2018-12-04/elecciones-andalucia-pablo-casado-pp-vox-ciudadanos_1685222/?utm_source=twitter&amp;utm_medium=social&amp;utm_campaign=BotoneraWeb" TargetMode="External"/><Relationship Id="rId1663" Type="http://schemas.openxmlformats.org/officeDocument/2006/relationships/hyperlink" Target="http://www.facebook.com/fernando.jimenez.12720" TargetMode="External"/><Relationship Id="rId1870" Type="http://schemas.openxmlformats.org/officeDocument/2006/relationships/hyperlink" Target="https://pbs.twimg.com/media/DtgMKZeU4AEIiCy.jpg" TargetMode="External"/><Relationship Id="rId1968" Type="http://schemas.openxmlformats.org/officeDocument/2006/relationships/hyperlink" Target="https://pbs.twimg.com/media/DtfW8MLX4AAg2tU.jpg" TargetMode="External"/><Relationship Id="rId2507" Type="http://schemas.openxmlformats.org/officeDocument/2006/relationships/hyperlink" Target="http://mundiario.com/" TargetMode="External"/><Relationship Id="rId2714" Type="http://schemas.openxmlformats.org/officeDocument/2006/relationships/hyperlink" Target="http://www.iagua.es/blogs/daniel-senderos" TargetMode="External"/><Relationship Id="rId1316" Type="http://schemas.openxmlformats.org/officeDocument/2006/relationships/hyperlink" Target="https://nadienoscortalasalas.wordpress.com/" TargetMode="External"/><Relationship Id="rId1523" Type="http://schemas.openxmlformats.org/officeDocument/2006/relationships/hyperlink" Target="https://www.elconfidencial.com/elecciones-andalucia/2018-12-04/elecciones-andalucia-pablo-casado-pp-vox-ciudadanos_1685222/" TargetMode="External"/><Relationship Id="rId1730" Type="http://schemas.openxmlformats.org/officeDocument/2006/relationships/hyperlink" Target="https://pbs.twimg.com/media/DthWTSsXgAIL4JM.jpg" TargetMode="External"/><Relationship Id="rId22" Type="http://schemas.openxmlformats.org/officeDocument/2006/relationships/hyperlink" Target="https://www.eldiario.es/murcia/medio_ambiente/Pablo-Casado-garantiza-Murcia-Tajo-Segura_0_844115670.html" TargetMode="External"/><Relationship Id="rId1828" Type="http://schemas.openxmlformats.org/officeDocument/2006/relationships/hyperlink" Target="https://pbs.twimg.com/media/DtgdFmYU8AEzTZJ.jpg" TargetMode="External"/><Relationship Id="rId171" Type="http://schemas.openxmlformats.org/officeDocument/2006/relationships/hyperlink" Target="http://www.theportadanews.com/2018/08/07/casado-master/" TargetMode="External"/><Relationship Id="rId2297" Type="http://schemas.openxmlformats.org/officeDocument/2006/relationships/hyperlink" Target="http://www.losreplicantes.com/" TargetMode="External"/><Relationship Id="rId269" Type="http://schemas.openxmlformats.org/officeDocument/2006/relationships/hyperlink" Target="https://pbs.twimg.com/media/Dt0cI6zW4AAjpFW.jpg" TargetMode="External"/><Relationship Id="rId476" Type="http://schemas.openxmlformats.org/officeDocument/2006/relationships/hyperlink" Target="http://www.pensamientosreducidos.es/" TargetMode="External"/><Relationship Id="rId683" Type="http://schemas.openxmlformats.org/officeDocument/2006/relationships/hyperlink" Target="https://m.eldiario.es/324580bb_843415739/" TargetMode="External"/><Relationship Id="rId890" Type="http://schemas.openxmlformats.org/officeDocument/2006/relationships/hyperlink" Target="https://www.libertaddigital.com/espana/politica/2018-12-06/javier-fernandez-lasquetty-nuevo-jefe-de-gabinete-de-casado-1276629457/" TargetMode="External"/><Relationship Id="rId2157" Type="http://schemas.openxmlformats.org/officeDocument/2006/relationships/hyperlink" Target="https://www.20minutos.es/noticia/3507206/0/pablo-casado-primera-piedra-pp-vuelva-gobierno-espana?utm_source=twitter.com&amp;utm_medium=socialshare&amp;utm_campaign=mobile_app" TargetMode="External"/><Relationship Id="rId2364" Type="http://schemas.openxmlformats.org/officeDocument/2006/relationships/hyperlink" Target="http://www.alcantarillasocial.com/author/xuxipc/" TargetMode="External"/><Relationship Id="rId2571" Type="http://schemas.openxmlformats.org/officeDocument/2006/relationships/hyperlink" Target="https://www.elmundo.es/espana/2018/12/02/5c02dc68fc6c83e67a8b45a2.html" TargetMode="External"/><Relationship Id="rId129" Type="http://schemas.openxmlformats.org/officeDocument/2006/relationships/hyperlink" Target="http://www.elplural.com/" TargetMode="External"/><Relationship Id="rId336" Type="http://schemas.openxmlformats.org/officeDocument/2006/relationships/hyperlink" Target="http://www.naroh.es/" TargetMode="External"/><Relationship Id="rId543" Type="http://schemas.openxmlformats.org/officeDocument/2006/relationships/hyperlink" Target="http://atres.red/nizq43" TargetMode="External"/><Relationship Id="rId988" Type="http://schemas.openxmlformats.org/officeDocument/2006/relationships/hyperlink" Target="http://bit.ly/2AOl198" TargetMode="External"/><Relationship Id="rId1173" Type="http://schemas.openxmlformats.org/officeDocument/2006/relationships/hyperlink" Target="http://www.elmundo.es/espana/2018/12/05/5c06eb2afc6c839b5f8b4622.html" TargetMode="External"/><Relationship Id="rId1380" Type="http://schemas.openxmlformats.org/officeDocument/2006/relationships/hyperlink" Target="https://twitter.com/protestona1/status/1070043010279313409" TargetMode="External"/><Relationship Id="rId2017" Type="http://schemas.openxmlformats.org/officeDocument/2006/relationships/hyperlink" Target="http://www.comicoff.es/category/extras/videojuegos/" TargetMode="External"/><Relationship Id="rId2224" Type="http://schemas.openxmlformats.org/officeDocument/2006/relationships/hyperlink" Target="http://www.instagram.com/luis_0042" TargetMode="External"/><Relationship Id="rId2669" Type="http://schemas.openxmlformats.org/officeDocument/2006/relationships/hyperlink" Target="https://ctxt.es/es/20181129/Firmas/23175/Pablo-Casado-inmigraci%C3%B3n-Gerardo-Tec%C3%A9-buenos-modales.htm" TargetMode="External"/><Relationship Id="rId403" Type="http://schemas.openxmlformats.org/officeDocument/2006/relationships/hyperlink" Target="https://youtu.be/9Hg8oSA_BmY" TargetMode="External"/><Relationship Id="rId750" Type="http://schemas.openxmlformats.org/officeDocument/2006/relationships/hyperlink" Target="http://www.diariolirico.es/" TargetMode="External"/><Relationship Id="rId848" Type="http://schemas.openxmlformats.org/officeDocument/2006/relationships/hyperlink" Target="https://www.larazon.es/espana/defender-la-constitucion-por-pablo-casado-FP20854122" TargetMode="External"/><Relationship Id="rId1033" Type="http://schemas.openxmlformats.org/officeDocument/2006/relationships/hyperlink" Target="http://www.lextres.com/" TargetMode="External"/><Relationship Id="rId1478" Type="http://schemas.openxmlformats.org/officeDocument/2006/relationships/hyperlink" Target="http://epmundo.com/" TargetMode="External"/><Relationship Id="rId1685" Type="http://schemas.openxmlformats.org/officeDocument/2006/relationships/hyperlink" Target="http://www.sergiocases-artstudio.com/" TargetMode="External"/><Relationship Id="rId1892" Type="http://schemas.openxmlformats.org/officeDocument/2006/relationships/hyperlink" Target="http://www.multiforo.eu/" TargetMode="External"/><Relationship Id="rId2431" Type="http://schemas.openxmlformats.org/officeDocument/2006/relationships/hyperlink" Target="http://cadenaser.com/ser/2018/11/30/politica/1543613809_281010.html?ssm=tw" TargetMode="External"/><Relationship Id="rId2529" Type="http://schemas.openxmlformats.org/officeDocument/2006/relationships/hyperlink" Target="https://linktr.ee/fuuko_home" TargetMode="External"/><Relationship Id="rId2736" Type="http://schemas.openxmlformats.org/officeDocument/2006/relationships/hyperlink" Target="http://www.clm24.es/" TargetMode="External"/><Relationship Id="rId610" Type="http://schemas.openxmlformats.org/officeDocument/2006/relationships/hyperlink" Target="https://www.lavanguardia.com/politica/20181206/453397937523/pablo-casado-vox-trump-le-pen-elecciones-andaluzas.html?utm_source=twitter_lv&amp;utm_medium=social" TargetMode="External"/><Relationship Id="rId708" Type="http://schemas.openxmlformats.org/officeDocument/2006/relationships/hyperlink" Target="https://cronicadigitalcomarcalp.blogspot.com/2018/12/pablo-casado-aspira-gobernar-espana-en.html" TargetMode="External"/><Relationship Id="rId915" Type="http://schemas.openxmlformats.org/officeDocument/2006/relationships/hyperlink" Target="https://www.elplural.com/politica/cis-valoracion-lideres-pablo-iglesias-pablo-casado-pedro-sanchez_207613102" TargetMode="External"/><Relationship Id="rId1240" Type="http://schemas.openxmlformats.org/officeDocument/2006/relationships/hyperlink" Target="http://pensandoenmirincon.blogspot.es/" TargetMode="External"/><Relationship Id="rId1338" Type="http://schemas.openxmlformats.org/officeDocument/2006/relationships/hyperlink" Target="https://www.europasur.es/_4ddd9e2a" TargetMode="External"/><Relationship Id="rId1545" Type="http://schemas.openxmlformats.org/officeDocument/2006/relationships/hyperlink" Target="https://www.elconfidencial.com/elecciones-andalucia/2018-12-04/elecciones-andalucia-pablo-casado-pp-vox-ciudadanos_1685222/?utm_source=twitter&amp;utm_medium=social&amp;utm_campaign=ECDiarioManual" TargetMode="External"/><Relationship Id="rId1100" Type="http://schemas.openxmlformats.org/officeDocument/2006/relationships/hyperlink" Target="http://bit.ly/EP_Venezuela" TargetMode="External"/><Relationship Id="rId1405" Type="http://schemas.openxmlformats.org/officeDocument/2006/relationships/hyperlink" Target="http://www.elsemanaldigital.com/" TargetMode="External"/><Relationship Id="rId1752" Type="http://schemas.openxmlformats.org/officeDocument/2006/relationships/hyperlink" Target="https://pbs.twimg.com/media/DthKNbEUUAAIW0y.jpg" TargetMode="External"/><Relationship Id="rId2803" Type="http://schemas.openxmlformats.org/officeDocument/2006/relationships/hyperlink" Target="https://pbs.twimg.com/media/DtRe9GSWkAAnyDw.jpg" TargetMode="External"/><Relationship Id="rId44" Type="http://schemas.openxmlformats.org/officeDocument/2006/relationships/hyperlink" Target="https://www.facebook.com/story.php?story_fbid=2163778927169927&amp;id=1394457667435394" TargetMode="External"/><Relationship Id="rId1612" Type="http://schemas.openxmlformats.org/officeDocument/2006/relationships/hyperlink" Target="https://pbs.twimg.com/media/DtkUujxWsAAS5eC.jpg" TargetMode="External"/><Relationship Id="rId1917" Type="http://schemas.openxmlformats.org/officeDocument/2006/relationships/hyperlink" Target="https://www.facebook.com/partidopopulardealmonte/videos/260543987964603/" TargetMode="External"/><Relationship Id="rId193" Type="http://schemas.openxmlformats.org/officeDocument/2006/relationships/hyperlink" Target="https://pbs.twimg.com/media/Dt1cyiTXgAEl8o3.jpg" TargetMode="External"/><Relationship Id="rId498" Type="http://schemas.openxmlformats.org/officeDocument/2006/relationships/hyperlink" Target="https://www.eldiario.es/_324580bb" TargetMode="External"/><Relationship Id="rId2081" Type="http://schemas.openxmlformats.org/officeDocument/2006/relationships/hyperlink" Target="http://www.nomaspatanes.com/" TargetMode="External"/><Relationship Id="rId2179" Type="http://schemas.openxmlformats.org/officeDocument/2006/relationships/hyperlink" Target="https://itunes.apple.com/es/book/gettysburg-1863/id665369445?mt=11" TargetMode="External"/><Relationship Id="rId260" Type="http://schemas.openxmlformats.org/officeDocument/2006/relationships/hyperlink" Target="https://pbs.twimg.com/media/Dt0jSpbU0AEKoD8.jpg" TargetMode="External"/><Relationship Id="rId2386" Type="http://schemas.openxmlformats.org/officeDocument/2006/relationships/hyperlink" Target="https://www.casadellibro.com/ebook-terror-marca-isis-ebook/9788483267790/6670969" TargetMode="External"/><Relationship Id="rId2593" Type="http://schemas.openxmlformats.org/officeDocument/2006/relationships/hyperlink" Target="http://theobjective.com/" TargetMode="External"/><Relationship Id="rId120" Type="http://schemas.openxmlformats.org/officeDocument/2006/relationships/hyperlink" Target="https://www.elplural.com/politica/caja-b-partido-popular-congreso-diputados-comision-investigacion-villarejo-pablo-casado_207693102" TargetMode="External"/><Relationship Id="rId358" Type="http://schemas.openxmlformats.org/officeDocument/2006/relationships/hyperlink" Target="https://www.eldiario.es/politica/Casado-Lasquetty-hospitales-Madrid-PP_0_843416091.html" TargetMode="External"/><Relationship Id="rId565" Type="http://schemas.openxmlformats.org/officeDocument/2006/relationships/hyperlink" Target="http://esradio.libertaddigital.com/es-la-tarde-de-dieter/" TargetMode="External"/><Relationship Id="rId772" Type="http://schemas.openxmlformats.org/officeDocument/2006/relationships/hyperlink" Target="https://www.instagram.com/p/BrC7hEMBmud/?utm_source=ig_twitter_share&amp;igshid=1t9n9nv1o6ikj" TargetMode="External"/><Relationship Id="rId1195" Type="http://schemas.openxmlformats.org/officeDocument/2006/relationships/hyperlink" Target="https://ift.tt/2UfvxPT" TargetMode="External"/><Relationship Id="rId2039" Type="http://schemas.openxmlformats.org/officeDocument/2006/relationships/hyperlink" Target="https://ift.tt/2SoCv3e" TargetMode="External"/><Relationship Id="rId2246" Type="http://schemas.openxmlformats.org/officeDocument/2006/relationships/hyperlink" Target="http://robertozn.wordpress.com/" TargetMode="External"/><Relationship Id="rId2453" Type="http://schemas.openxmlformats.org/officeDocument/2006/relationships/hyperlink" Target="http://orangizer.com/" TargetMode="External"/><Relationship Id="rId2660" Type="http://schemas.openxmlformats.org/officeDocument/2006/relationships/hyperlink" Target="https://ctxt.es/es/20181129/Firmas/23175/Pablo-Casado-inmigraci%C3%B3n-Gerardo-Tec%C3%A9-buenos-modales.htm" TargetMode="External"/><Relationship Id="rId218" Type="http://schemas.openxmlformats.org/officeDocument/2006/relationships/hyperlink" Target="https://www.elplural.com/politica/casado-ficha-a-lasquetty-el-precursor-de-la-privatizacion-de-hospitales_207704102" TargetMode="External"/><Relationship Id="rId425" Type="http://schemas.openxmlformats.org/officeDocument/2006/relationships/hyperlink" Target="https://www.libertaddigital.com/espana/politica/2018-12-06/javier-fernandez-lasquetty-nuevo-jefe-de-gabinete-de-casado-1276629457/" TargetMode="External"/><Relationship Id="rId632" Type="http://schemas.openxmlformats.org/officeDocument/2006/relationships/hyperlink" Target="https://bit.ly/2KZIPMc" TargetMode="External"/><Relationship Id="rId1055" Type="http://schemas.openxmlformats.org/officeDocument/2006/relationships/hyperlink" Target="https://www.facebook.com/groups/188327201920251/" TargetMode="External"/><Relationship Id="rId1262" Type="http://schemas.openxmlformats.org/officeDocument/2006/relationships/hyperlink" Target="http://enrique2311.wordpress.com/" TargetMode="External"/><Relationship Id="rId2106" Type="http://schemas.openxmlformats.org/officeDocument/2006/relationships/hyperlink" Target="http://www.youtube.com/user/xXTigrexTiranosXx" TargetMode="External"/><Relationship Id="rId2313" Type="http://schemas.openxmlformats.org/officeDocument/2006/relationships/hyperlink" Target="https://www.instagram.com/littlefishibiri/" TargetMode="External"/><Relationship Id="rId2520" Type="http://schemas.openxmlformats.org/officeDocument/2006/relationships/hyperlink" Target="https://pbs.twimg.com/media/DtaRBOoW0AcKQUs.jpg" TargetMode="External"/><Relationship Id="rId2758" Type="http://schemas.openxmlformats.org/officeDocument/2006/relationships/hyperlink" Target="https://www.facebook.com/ElcurritoSalvadorTelloAlapont/posts/1971333119609123" TargetMode="External"/><Relationship Id="rId937" Type="http://schemas.openxmlformats.org/officeDocument/2006/relationships/hyperlink" Target="https://www.libertaddigital.com/espana/politica/2018-12-06/javier-fernandez-lasquetty-nuevo-jefe-de-gabinete-de-casado-1276629457/" TargetMode="External"/><Relationship Id="rId1122" Type="http://schemas.openxmlformats.org/officeDocument/2006/relationships/hyperlink" Target="https://es.ambafrance.org/" TargetMode="External"/><Relationship Id="rId1567" Type="http://schemas.openxmlformats.org/officeDocument/2006/relationships/hyperlink" Target="http://www.teleprensa.com/" TargetMode="External"/><Relationship Id="rId1774" Type="http://schemas.openxmlformats.org/officeDocument/2006/relationships/hyperlink" Target="https://verne.elpais.com/verne/2018/12/03/articulo/1543829785_936778.html" TargetMode="External"/><Relationship Id="rId1981" Type="http://schemas.openxmlformats.org/officeDocument/2006/relationships/hyperlink" Target="https://elpais.com/politica/2018/07/31/actualidad/1532990868_915948.html" TargetMode="External"/><Relationship Id="rId2618" Type="http://schemas.openxmlformats.org/officeDocument/2006/relationships/hyperlink" Target="http://shr.gs/Uq8FfJ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501"/>
  <sheetViews>
    <sheetView tabSelected="1" workbookViewId="0">
      <pane ySplit="2" topLeftCell="A2476" activePane="bottomLeft" state="frozen"/>
      <selection pane="bottomLeft" activeCell="D3" sqref="D3:D2478"/>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30" t="s">
        <v>0</v>
      </c>
      <c r="B1" s="31"/>
      <c r="C1" s="31"/>
      <c r="D1" s="31"/>
      <c r="E1" s="31"/>
      <c r="F1" s="31"/>
      <c r="G1" s="31"/>
      <c r="H1" s="31"/>
      <c r="I1" s="31"/>
      <c r="J1" s="31"/>
      <c r="K1" s="31"/>
      <c r="L1" s="32" t="s">
        <v>2</v>
      </c>
      <c r="M1" s="31"/>
      <c r="N1" s="31"/>
      <c r="O1" s="31"/>
      <c r="P1" s="31"/>
      <c r="Q1" s="31"/>
      <c r="R1" s="31"/>
      <c r="S1" s="31"/>
      <c r="T1" s="31"/>
      <c r="U1" s="31"/>
    </row>
    <row r="2" spans="1:21" ht="29.25" customHeight="1">
      <c r="A2" s="1" t="s">
        <v>1</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40.799999999999997">
      <c r="A3" s="6">
        <v>43442.733263888891</v>
      </c>
      <c r="B3" s="7" t="str">
        <f>HYPERLINK("https://twitter.com/SrSpinola","@SrSpinola")</f>
        <v>@SrSpinola</v>
      </c>
      <c r="C3" s="8" t="s">
        <v>22</v>
      </c>
      <c r="D3" s="9" t="s">
        <v>23</v>
      </c>
      <c r="E3" s="10" t="str">
        <f>HYPERLINK("https://twitter.com/SrSpinola/status/1071443258801356802","1071443258801356802")</f>
        <v>1071443258801356802</v>
      </c>
      <c r="F3" s="11" t="s">
        <v>24</v>
      </c>
      <c r="G3" s="12"/>
      <c r="H3" s="12"/>
      <c r="I3" s="13">
        <v>0</v>
      </c>
      <c r="J3" s="13">
        <v>0</v>
      </c>
      <c r="K3" s="14" t="str">
        <f>HYPERLINK("http://twitter.com/download/iphone","Twitter for iPhone")</f>
        <v>Twitter for iPhone</v>
      </c>
      <c r="L3" s="13">
        <v>709</v>
      </c>
      <c r="M3" s="13">
        <v>987</v>
      </c>
      <c r="N3" s="13">
        <v>2</v>
      </c>
      <c r="O3" s="15"/>
      <c r="P3" s="6">
        <v>42965.509918981479</v>
      </c>
      <c r="Q3" s="16" t="s">
        <v>25</v>
      </c>
      <c r="R3" s="17" t="s">
        <v>27</v>
      </c>
      <c r="S3" s="12"/>
      <c r="T3" s="12"/>
      <c r="U3" s="10" t="str">
        <f>HYPERLINK("https://pbs.twimg.com/profile_images/898577756732174336/iJkWzOAP.jpg","View")</f>
        <v>View</v>
      </c>
    </row>
    <row r="4" spans="1:21" ht="20.399999999999999">
      <c r="A4" s="6">
        <v>43442.729502314818</v>
      </c>
      <c r="B4" s="7" t="str">
        <f>HYPERLINK("https://twitter.com/Thethlumth","@Thethlumth")</f>
        <v>@Thethlumth</v>
      </c>
      <c r="C4" s="18" t="s">
        <v>29</v>
      </c>
      <c r="D4" s="9" t="s">
        <v>31</v>
      </c>
      <c r="E4" s="10" t="str">
        <f>HYPERLINK("https://twitter.com/Thethlumth/status/1071441897363832832","1071441897363832832")</f>
        <v>1071441897363832832</v>
      </c>
      <c r="F4" s="12"/>
      <c r="G4" s="12"/>
      <c r="H4" s="12"/>
      <c r="I4" s="13">
        <v>0</v>
      </c>
      <c r="J4" s="13">
        <v>0</v>
      </c>
      <c r="K4" s="14" t="str">
        <f>HYPERLINK("http://twitter.com","Twitter Web Client")</f>
        <v>Twitter Web Client</v>
      </c>
      <c r="L4" s="13">
        <v>331</v>
      </c>
      <c r="M4" s="13">
        <v>200</v>
      </c>
      <c r="N4" s="13">
        <v>21</v>
      </c>
      <c r="O4" s="15"/>
      <c r="P4" s="6">
        <v>40267.965266203704</v>
      </c>
      <c r="Q4" s="16" t="s">
        <v>36</v>
      </c>
      <c r="R4" s="17" t="s">
        <v>37</v>
      </c>
      <c r="S4" s="11" t="s">
        <v>38</v>
      </c>
      <c r="T4" s="12"/>
      <c r="U4" s="10" t="str">
        <f>HYPERLINK("https://pbs.twimg.com/profile_images/1058002191452196864/xNdTiHbb.jpg","View")</f>
        <v>View</v>
      </c>
    </row>
    <row r="5" spans="1:21" ht="40.799999999999997">
      <c r="A5" s="6">
        <v>43442.728472222225</v>
      </c>
      <c r="B5" s="7" t="str">
        <f>HYPERLINK("https://twitter.com/laverdad_es","@laverdad_es")</f>
        <v>@laverdad_es</v>
      </c>
      <c r="C5" s="8" t="s">
        <v>41</v>
      </c>
      <c r="D5" s="9" t="s">
        <v>42</v>
      </c>
      <c r="E5" s="10" t="str">
        <f>HYPERLINK("https://twitter.com/laverdad_es/status/1071441523919720453","1071441523919720453")</f>
        <v>1071441523919720453</v>
      </c>
      <c r="F5" s="11" t="s">
        <v>43</v>
      </c>
      <c r="G5" s="12"/>
      <c r="H5" s="12"/>
      <c r="I5" s="13">
        <v>0</v>
      </c>
      <c r="J5" s="13">
        <v>1</v>
      </c>
      <c r="K5" s="14" t="str">
        <f>HYPERLINK("https://about.twitter.com/products/tweetdeck","TweetDeck")</f>
        <v>TweetDeck</v>
      </c>
      <c r="L5" s="13">
        <v>163020</v>
      </c>
      <c r="M5" s="13">
        <v>700</v>
      </c>
      <c r="N5" s="13">
        <v>1335</v>
      </c>
      <c r="O5" s="19" t="s">
        <v>44</v>
      </c>
      <c r="P5" s="6">
        <v>39969.670555555553</v>
      </c>
      <c r="Q5" s="16" t="s">
        <v>45</v>
      </c>
      <c r="R5" s="17" t="s">
        <v>46</v>
      </c>
      <c r="S5" s="11" t="s">
        <v>47</v>
      </c>
      <c r="T5" s="12"/>
      <c r="U5" s="10" t="str">
        <f>HYPERLINK("https://pbs.twimg.com/profile_images/875635188700545024/OP4_El2C.jpg","View")</f>
        <v>View</v>
      </c>
    </row>
    <row r="6" spans="1:21" ht="30.6">
      <c r="A6" s="6">
        <v>43442.724027777775</v>
      </c>
      <c r="B6" s="7" t="str">
        <f>HYPERLINK("https://twitter.com/Amiss0709Sergio","@Amiss0709Sergio")</f>
        <v>@Amiss0709Sergio</v>
      </c>
      <c r="C6" s="8" t="s">
        <v>49</v>
      </c>
      <c r="D6" s="9" t="s">
        <v>50</v>
      </c>
      <c r="E6" s="10" t="str">
        <f>HYPERLINK("https://twitter.com/Amiss0709Sergio/status/1071439912875032577","1071439912875032577")</f>
        <v>1071439912875032577</v>
      </c>
      <c r="F6" s="11" t="s">
        <v>51</v>
      </c>
      <c r="G6" s="12"/>
      <c r="H6" s="12"/>
      <c r="I6" s="13">
        <v>0</v>
      </c>
      <c r="J6" s="13">
        <v>0</v>
      </c>
      <c r="K6" s="14" t="str">
        <f>HYPERLINK("http://www.facebook.com/twitter","Facebook")</f>
        <v>Facebook</v>
      </c>
      <c r="L6" s="13">
        <v>3145</v>
      </c>
      <c r="M6" s="13">
        <v>3365</v>
      </c>
      <c r="N6" s="13">
        <v>25</v>
      </c>
      <c r="O6" s="15"/>
      <c r="P6" s="6">
        <v>40142.948761574073</v>
      </c>
      <c r="Q6" s="16" t="s">
        <v>52</v>
      </c>
      <c r="R6" s="17" t="s">
        <v>53</v>
      </c>
      <c r="S6" s="11" t="s">
        <v>54</v>
      </c>
      <c r="T6" s="12"/>
      <c r="U6" s="10" t="str">
        <f>HYPERLINK("https://pbs.twimg.com/profile_images/826518765638672385/2-LYEGeK.jpg","View")</f>
        <v>View</v>
      </c>
    </row>
    <row r="7" spans="1:21" ht="51">
      <c r="A7" s="6">
        <v>43442.72351851852</v>
      </c>
      <c r="B7" s="7" t="str">
        <f>HYPERLINK("https://twitter.com/rodeos85","@rodeos85")</f>
        <v>@rodeos85</v>
      </c>
      <c r="C7" s="8" t="s">
        <v>55</v>
      </c>
      <c r="D7" s="9" t="s">
        <v>56</v>
      </c>
      <c r="E7" s="10" t="str">
        <f>HYPERLINK("https://twitter.com/rodeos85/status/1071439727247659008","1071439727247659008")</f>
        <v>1071439727247659008</v>
      </c>
      <c r="F7" s="11" t="s">
        <v>57</v>
      </c>
      <c r="G7" s="12"/>
      <c r="H7" s="12"/>
      <c r="I7" s="13">
        <v>0</v>
      </c>
      <c r="J7" s="13">
        <v>0</v>
      </c>
      <c r="K7" s="14" t="str">
        <f>HYPERLINK("http://twitter.com/download/iphone","Twitter for iPhone")</f>
        <v>Twitter for iPhone</v>
      </c>
      <c r="L7" s="13">
        <v>41</v>
      </c>
      <c r="M7" s="13">
        <v>44</v>
      </c>
      <c r="N7" s="13">
        <v>0</v>
      </c>
      <c r="O7" s="15"/>
      <c r="P7" s="6">
        <v>43372.010462962964</v>
      </c>
      <c r="Q7" s="16" t="s">
        <v>58</v>
      </c>
      <c r="R7" s="17" t="s">
        <v>59</v>
      </c>
      <c r="S7" s="12"/>
      <c r="T7" s="12"/>
      <c r="U7" s="10" t="str">
        <f>HYPERLINK("https://pbs.twimg.com/profile_images/1048591002498420736/6CLQ-mqt.jpg","View")</f>
        <v>View</v>
      </c>
    </row>
    <row r="8" spans="1:21" ht="30.6">
      <c r="A8" s="6">
        <v>43442.719872685186</v>
      </c>
      <c r="B8" s="7" t="str">
        <f>HYPERLINK("https://twitter.com/okdiario","@okdiario")</f>
        <v>@okdiario</v>
      </c>
      <c r="C8" s="8" t="s">
        <v>60</v>
      </c>
      <c r="D8" s="9" t="s">
        <v>61</v>
      </c>
      <c r="E8" s="10" t="str">
        <f>HYPERLINK("https://twitter.com/okdiario/status/1071438407690280961","1071438407690280961")</f>
        <v>1071438407690280961</v>
      </c>
      <c r="F8" s="11" t="s">
        <v>62</v>
      </c>
      <c r="G8" s="12"/>
      <c r="H8" s="12"/>
      <c r="I8" s="13">
        <v>5</v>
      </c>
      <c r="J8" s="13">
        <v>6</v>
      </c>
      <c r="K8" s="14" t="str">
        <f>HYPERLINK("https://www.echobox.com","Echobox Social")</f>
        <v>Echobox Social</v>
      </c>
      <c r="L8" s="13">
        <v>112409</v>
      </c>
      <c r="M8" s="13">
        <v>343</v>
      </c>
      <c r="N8" s="13">
        <v>1440</v>
      </c>
      <c r="O8" s="19" t="s">
        <v>44</v>
      </c>
      <c r="P8" s="6">
        <v>42241.708229166667</v>
      </c>
      <c r="Q8" s="12"/>
      <c r="R8" s="17" t="s">
        <v>63</v>
      </c>
      <c r="S8" s="11" t="s">
        <v>64</v>
      </c>
      <c r="T8" s="12"/>
      <c r="U8" s="10" t="str">
        <f>HYPERLINK("https://pbs.twimg.com/profile_images/789113773697208320/3LvFvi8Q.jpg","View")</f>
        <v>View</v>
      </c>
    </row>
    <row r="9" spans="1:21" ht="40.799999999999997">
      <c r="A9" s="6">
        <v>43442.717951388884</v>
      </c>
      <c r="B9" s="7" t="str">
        <f>HYPERLINK("https://twitter.com/LaVozdelBecario","@LaVozdelBecario")</f>
        <v>@LaVozdelBecario</v>
      </c>
      <c r="C9" s="8" t="s">
        <v>65</v>
      </c>
      <c r="D9" s="9" t="s">
        <v>66</v>
      </c>
      <c r="E9" s="10" t="str">
        <f>HYPERLINK("https://twitter.com/LaVozdelBecario/status/1071437711662350337","1071437711662350337")</f>
        <v>1071437711662350337</v>
      </c>
      <c r="F9" s="12"/>
      <c r="G9" s="12"/>
      <c r="H9" s="12"/>
      <c r="I9" s="13">
        <v>1</v>
      </c>
      <c r="J9" s="13">
        <v>9</v>
      </c>
      <c r="K9" s="14" t="str">
        <f>HYPERLINK("https://ads-api.twitter.com","Twitter Ads Composer")</f>
        <v>Twitter Ads Composer</v>
      </c>
      <c r="L9" s="13">
        <v>12522</v>
      </c>
      <c r="M9" s="13">
        <v>3280</v>
      </c>
      <c r="N9" s="13">
        <v>77</v>
      </c>
      <c r="O9" s="15"/>
      <c r="P9" s="6">
        <v>42688.13890046296</v>
      </c>
      <c r="Q9" s="16" t="s">
        <v>48</v>
      </c>
      <c r="R9" s="17" t="s">
        <v>67</v>
      </c>
      <c r="S9" s="11" t="s">
        <v>68</v>
      </c>
      <c r="T9" s="12"/>
      <c r="U9" s="10" t="str">
        <f>HYPERLINK("https://pbs.twimg.com/profile_images/1027803907509170176/_o4a3hgY.jpg","View")</f>
        <v>View</v>
      </c>
    </row>
    <row r="10" spans="1:21" ht="102">
      <c r="A10" s="6">
        <v>43442.716423611113</v>
      </c>
      <c r="B10" s="7" t="str">
        <f>HYPERLINK("https://twitter.com/RanaTabarnia","@RanaTabarnia")</f>
        <v>@RanaTabarnia</v>
      </c>
      <c r="C10" s="8" t="s">
        <v>69</v>
      </c>
      <c r="D10" s="9" t="s">
        <v>70</v>
      </c>
      <c r="E10" s="10" t="str">
        <f>HYPERLINK("https://twitter.com/RanaTabarnia/status/1071437158433599488","1071437158433599488")</f>
        <v>1071437158433599488</v>
      </c>
      <c r="F10" s="16" t="s">
        <v>71</v>
      </c>
      <c r="G10" s="12"/>
      <c r="H10" s="12"/>
      <c r="I10" s="13">
        <v>0</v>
      </c>
      <c r="J10" s="13">
        <v>0</v>
      </c>
      <c r="K10" s="14" t="str">
        <f>HYPERLINK("http://twitter.com/download/android","Twitter for Android")</f>
        <v>Twitter for Android</v>
      </c>
      <c r="L10" s="13">
        <v>168</v>
      </c>
      <c r="M10" s="13">
        <v>143</v>
      </c>
      <c r="N10" s="13">
        <v>0</v>
      </c>
      <c r="O10" s="15"/>
      <c r="P10" s="6">
        <v>43286.761712962965</v>
      </c>
      <c r="Q10" s="12"/>
      <c r="R10" s="20"/>
      <c r="S10" s="12"/>
      <c r="T10" s="12"/>
      <c r="U10" s="10" t="str">
        <f>HYPERLINK("https://pbs.twimg.com/profile_images/1021799925858922497/y6n6WhI-.jpg","View")</f>
        <v>View</v>
      </c>
    </row>
    <row r="11" spans="1:21" ht="40.799999999999997">
      <c r="A11" s="6">
        <v>43442.711805555555</v>
      </c>
      <c r="B11" s="7" t="str">
        <f>HYPERLINK("https://twitter.com/caval100","@caval100")</f>
        <v>@caval100</v>
      </c>
      <c r="C11" s="8" t="s">
        <v>72</v>
      </c>
      <c r="D11" s="9" t="s">
        <v>73</v>
      </c>
      <c r="E11" s="10" t="str">
        <f>HYPERLINK("https://twitter.com/caval100/status/1071435484574965761","1071435484574965761")</f>
        <v>1071435484574965761</v>
      </c>
      <c r="F11" s="11" t="s">
        <v>74</v>
      </c>
      <c r="G11" s="12"/>
      <c r="H11" s="12"/>
      <c r="I11" s="13">
        <v>0</v>
      </c>
      <c r="J11" s="13">
        <v>0</v>
      </c>
      <c r="K11" s="14" t="str">
        <f>HYPERLINK("https://about.twitter.com/products/tweetdeck","TweetDeck")</f>
        <v>TweetDeck</v>
      </c>
      <c r="L11" s="13">
        <v>119343</v>
      </c>
      <c r="M11" s="13">
        <v>94000</v>
      </c>
      <c r="N11" s="13">
        <v>982</v>
      </c>
      <c r="O11" s="15"/>
      <c r="P11" s="6">
        <v>40079.437094907407</v>
      </c>
      <c r="Q11" s="16" t="s">
        <v>75</v>
      </c>
      <c r="R11" s="17" t="s">
        <v>76</v>
      </c>
      <c r="S11" s="11" t="s">
        <v>77</v>
      </c>
      <c r="T11" s="12"/>
      <c r="U11" s="10" t="str">
        <f>HYPERLINK("https://pbs.twimg.com/profile_images/965350678301429760/uvGI7g8U.jpg","View")</f>
        <v>View</v>
      </c>
    </row>
    <row r="12" spans="1:21" ht="20.399999999999999">
      <c r="A12" s="6">
        <v>43442.71125</v>
      </c>
      <c r="B12" s="7" t="str">
        <f>HYPERLINK("https://twitter.com/cris230653","@cris230653")</f>
        <v>@cris230653</v>
      </c>
      <c r="C12" s="8" t="s">
        <v>78</v>
      </c>
      <c r="D12" s="9" t="s">
        <v>50</v>
      </c>
      <c r="E12" s="10" t="str">
        <f>HYPERLINK("https://twitter.com/cris230653/status/1071435283974053890","1071435283974053890")</f>
        <v>1071435283974053890</v>
      </c>
      <c r="F12" s="11" t="s">
        <v>79</v>
      </c>
      <c r="G12" s="12"/>
      <c r="H12" s="12"/>
      <c r="I12" s="13">
        <v>0</v>
      </c>
      <c r="J12" s="13">
        <v>0</v>
      </c>
      <c r="K12" s="14" t="str">
        <f>HYPERLINK("http://twitter.com","Twitter Web Client")</f>
        <v>Twitter Web Client</v>
      </c>
      <c r="L12" s="13">
        <v>268</v>
      </c>
      <c r="M12" s="13">
        <v>480</v>
      </c>
      <c r="N12" s="13">
        <v>13</v>
      </c>
      <c r="O12" s="15"/>
      <c r="P12" s="6">
        <v>42480.61414351852</v>
      </c>
      <c r="Q12" s="16" t="s">
        <v>81</v>
      </c>
      <c r="R12" s="17" t="s">
        <v>82</v>
      </c>
      <c r="S12" s="12"/>
      <c r="T12" s="12"/>
      <c r="U12" s="10" t="str">
        <f>HYPERLINK("https://pbs.twimg.com/profile_images/722770030614704138/FRNQJzN9.jpg","View")</f>
        <v>View</v>
      </c>
    </row>
    <row r="13" spans="1:21" ht="20.399999999999999">
      <c r="A13" s="6">
        <v>43442.708692129629</v>
      </c>
      <c r="B13" s="7" t="str">
        <f>HYPERLINK("https://twitter.com/TheObjective_es","@TheObjective_es")</f>
        <v>@TheObjective_es</v>
      </c>
      <c r="C13" s="8" t="s">
        <v>83</v>
      </c>
      <c r="D13" s="9" t="s">
        <v>84</v>
      </c>
      <c r="E13" s="10" t="str">
        <f>HYPERLINK("https://twitter.com/TheObjective_es/status/1071434355552194560","1071434355552194560")</f>
        <v>1071434355552194560</v>
      </c>
      <c r="F13" s="11" t="s">
        <v>85</v>
      </c>
      <c r="G13" s="12"/>
      <c r="H13" s="12"/>
      <c r="I13" s="13">
        <v>0</v>
      </c>
      <c r="J13" s="13">
        <v>0</v>
      </c>
      <c r="K13" s="14" t="str">
        <f>HYPERLINK("https://buffer.com","Buffer")</f>
        <v>Buffer</v>
      </c>
      <c r="L13" s="13">
        <v>50878</v>
      </c>
      <c r="M13" s="13">
        <v>704</v>
      </c>
      <c r="N13" s="13">
        <v>1225</v>
      </c>
      <c r="O13" s="15"/>
      <c r="P13" s="6">
        <v>41473.393935185188</v>
      </c>
      <c r="Q13" s="16" t="s">
        <v>86</v>
      </c>
      <c r="R13" s="17" t="s">
        <v>87</v>
      </c>
      <c r="S13" s="11" t="s">
        <v>88</v>
      </c>
      <c r="T13" s="12"/>
      <c r="U13" s="10" t="str">
        <f>HYPERLINK("https://pbs.twimg.com/profile_images/996760534082117632/umqvtWL2.jpg","View")</f>
        <v>View</v>
      </c>
    </row>
    <row r="14" spans="1:21" ht="20.399999999999999">
      <c r="A14" s="6">
        <v>43442.707951388889</v>
      </c>
      <c r="B14" s="7" t="str">
        <f>HYPERLINK("https://twitter.com/cris230653","@cris230653")</f>
        <v>@cris230653</v>
      </c>
      <c r="C14" s="8" t="s">
        <v>78</v>
      </c>
      <c r="D14" s="9" t="s">
        <v>50</v>
      </c>
      <c r="E14" s="10" t="str">
        <f>HYPERLINK("https://twitter.com/cris230653/status/1071434087464865793","1071434087464865793")</f>
        <v>1071434087464865793</v>
      </c>
      <c r="F14" s="11" t="s">
        <v>90</v>
      </c>
      <c r="G14" s="12"/>
      <c r="H14" s="12"/>
      <c r="I14" s="13">
        <v>0</v>
      </c>
      <c r="J14" s="13">
        <v>0</v>
      </c>
      <c r="K14" s="14" t="str">
        <f>HYPERLINK("http://twitter.com","Twitter Web Client")</f>
        <v>Twitter Web Client</v>
      </c>
      <c r="L14" s="13">
        <v>268</v>
      </c>
      <c r="M14" s="13">
        <v>480</v>
      </c>
      <c r="N14" s="13">
        <v>13</v>
      </c>
      <c r="O14" s="15"/>
      <c r="P14" s="6">
        <v>42480.61414351852</v>
      </c>
      <c r="Q14" s="16" t="s">
        <v>81</v>
      </c>
      <c r="R14" s="17" t="s">
        <v>82</v>
      </c>
      <c r="S14" s="12"/>
      <c r="T14" s="12"/>
      <c r="U14" s="10" t="str">
        <f>HYPERLINK("https://pbs.twimg.com/profile_images/722770030614704138/FRNQJzN9.jpg","View")</f>
        <v>View</v>
      </c>
    </row>
    <row r="15" spans="1:21" ht="30.6">
      <c r="A15" s="6">
        <v>43442.701365740737</v>
      </c>
      <c r="B15" s="7" t="str">
        <f>HYPERLINK("https://twitter.com/TiexableLoL","@TiexableLoL")</f>
        <v>@TiexableLoL</v>
      </c>
      <c r="C15" s="8" t="s">
        <v>91</v>
      </c>
      <c r="D15" s="9" t="s">
        <v>92</v>
      </c>
      <c r="E15" s="10" t="str">
        <f>HYPERLINK("https://twitter.com/TiexableLoL/status/1071431701841281024","1071431701841281024")</f>
        <v>1071431701841281024</v>
      </c>
      <c r="F15" s="12"/>
      <c r="G15" s="12"/>
      <c r="H15" s="12"/>
      <c r="I15" s="13">
        <v>0</v>
      </c>
      <c r="J15" s="13">
        <v>0</v>
      </c>
      <c r="K15" s="14" t="str">
        <f>HYPERLINK("https://about.twitter.com/products/tweetdeck","TweetDeck")</f>
        <v>TweetDeck</v>
      </c>
      <c r="L15" s="13">
        <v>1021</v>
      </c>
      <c r="M15" s="13">
        <v>572</v>
      </c>
      <c r="N15" s="13">
        <v>8</v>
      </c>
      <c r="O15" s="15"/>
      <c r="P15" s="6">
        <v>42404.038344907407</v>
      </c>
      <c r="Q15" s="16" t="s">
        <v>93</v>
      </c>
      <c r="R15" s="17" t="s">
        <v>94</v>
      </c>
      <c r="S15" s="11" t="s">
        <v>95</v>
      </c>
      <c r="T15" s="12"/>
      <c r="U15" s="10" t="str">
        <f>HYPERLINK("https://pbs.twimg.com/profile_images/1067682938081431552/wTcfGB2a.jpg","View")</f>
        <v>View</v>
      </c>
    </row>
    <row r="16" spans="1:21" ht="30.6">
      <c r="A16" s="6">
        <v>43442.697488425925</v>
      </c>
      <c r="B16" s="7" t="str">
        <f>HYPERLINK("https://twitter.com/mcyava","@mcyava")</f>
        <v>@mcyava</v>
      </c>
      <c r="C16" s="8" t="s">
        <v>97</v>
      </c>
      <c r="D16" s="9" t="s">
        <v>98</v>
      </c>
      <c r="E16" s="10" t="str">
        <f>HYPERLINK("https://twitter.com/mcyava/status/1071430296770408448","1071430296770408448")</f>
        <v>1071430296770408448</v>
      </c>
      <c r="F16" s="12"/>
      <c r="G16" s="11" t="s">
        <v>99</v>
      </c>
      <c r="H16" s="12"/>
      <c r="I16" s="13">
        <v>17</v>
      </c>
      <c r="J16" s="13">
        <v>19</v>
      </c>
      <c r="K16" s="14" t="str">
        <f t="shared" ref="K16:K17" si="0">HYPERLINK("http://twitter.com/download/android","Twitter for Android")</f>
        <v>Twitter for Android</v>
      </c>
      <c r="L16" s="13">
        <v>16630</v>
      </c>
      <c r="M16" s="13">
        <v>12849</v>
      </c>
      <c r="N16" s="13">
        <v>90</v>
      </c>
      <c r="O16" s="15"/>
      <c r="P16" s="6">
        <v>40819.440150462964</v>
      </c>
      <c r="Q16" s="16" t="s">
        <v>48</v>
      </c>
      <c r="R16" s="17" t="s">
        <v>100</v>
      </c>
      <c r="S16" s="12"/>
      <c r="T16" s="12"/>
      <c r="U16" s="10" t="str">
        <f>HYPERLINK("https://pbs.twimg.com/profile_images/957202578210738176/msS95mss.jpg","View")</f>
        <v>View</v>
      </c>
    </row>
    <row r="17" spans="1:21" ht="20.399999999999999">
      <c r="A17" s="6">
        <v>43442.691064814819</v>
      </c>
      <c r="B17" s="7" t="str">
        <f>HYPERLINK("https://twitter.com/defendeitor","@defendeitor")</f>
        <v>@defendeitor</v>
      </c>
      <c r="C17" s="8" t="s">
        <v>101</v>
      </c>
      <c r="D17" s="9" t="s">
        <v>102</v>
      </c>
      <c r="E17" s="10" t="str">
        <f>HYPERLINK("https://twitter.com/defendeitor/status/1071427968705224704","1071427968705224704")</f>
        <v>1071427968705224704</v>
      </c>
      <c r="F17" s="12"/>
      <c r="G17" s="11" t="s">
        <v>103</v>
      </c>
      <c r="H17" s="12"/>
      <c r="I17" s="13">
        <v>0</v>
      </c>
      <c r="J17" s="13">
        <v>0</v>
      </c>
      <c r="K17" s="14" t="str">
        <f t="shared" si="0"/>
        <v>Twitter for Android</v>
      </c>
      <c r="L17" s="13">
        <v>400</v>
      </c>
      <c r="M17" s="13">
        <v>3768</v>
      </c>
      <c r="N17" s="13">
        <v>0</v>
      </c>
      <c r="O17" s="15"/>
      <c r="P17" s="6">
        <v>40251.99863425926</v>
      </c>
      <c r="Q17" s="16" t="s">
        <v>96</v>
      </c>
      <c r="R17" s="17" t="s">
        <v>105</v>
      </c>
      <c r="S17" s="12"/>
      <c r="T17" s="12"/>
      <c r="U17" s="10" t="str">
        <f>HYPERLINK("https://pbs.twimg.com/profile_images/1031182046612385798/Ni2n2bHN.jpg","View")</f>
        <v>View</v>
      </c>
    </row>
    <row r="18" spans="1:21" ht="30.6">
      <c r="A18" s="6">
        <v>43442.689583333333</v>
      </c>
      <c r="B18" s="7" t="str">
        <f>HYPERLINK("https://twitter.com/ElHuffPost","@ElHuffPost")</f>
        <v>@ElHuffPost</v>
      </c>
      <c r="C18" s="8" t="s">
        <v>106</v>
      </c>
      <c r="D18" s="9" t="s">
        <v>107</v>
      </c>
      <c r="E18" s="10" t="str">
        <f>HYPERLINK("https://twitter.com/ElHuffPost/status/1071427431351881729","1071427431351881729")</f>
        <v>1071427431351881729</v>
      </c>
      <c r="F18" s="11" t="s">
        <v>108</v>
      </c>
      <c r="G18" s="12"/>
      <c r="H18" s="12"/>
      <c r="I18" s="13">
        <v>0</v>
      </c>
      <c r="J18" s="13">
        <v>0</v>
      </c>
      <c r="K18" s="14" t="str">
        <f>HYPERLINK("https://about.twitter.com/products/tweetdeck","TweetDeck")</f>
        <v>TweetDeck</v>
      </c>
      <c r="L18" s="13">
        <v>431182</v>
      </c>
      <c r="M18" s="13">
        <v>1551</v>
      </c>
      <c r="N18" s="13">
        <v>8193</v>
      </c>
      <c r="O18" s="19" t="s">
        <v>44</v>
      </c>
      <c r="P18" s="6">
        <v>40785.027118055557</v>
      </c>
      <c r="Q18" s="16" t="s">
        <v>109</v>
      </c>
      <c r="R18" s="17" t="s">
        <v>110</v>
      </c>
      <c r="S18" s="11" t="s">
        <v>111</v>
      </c>
      <c r="T18" s="12"/>
      <c r="U18" s="10" t="str">
        <f>HYPERLINK("https://pbs.twimg.com/profile_images/921140803422089217/ETOEUOAx.jpg","View")</f>
        <v>View</v>
      </c>
    </row>
    <row r="19" spans="1:21" ht="30.6">
      <c r="A19" s="6">
        <v>43442.687175925923</v>
      </c>
      <c r="B19" s="7" t="str">
        <f>HYPERLINK("https://twitter.com/eldiariomurcia","@eldiariomurcia")</f>
        <v>@eldiariomurcia</v>
      </c>
      <c r="C19" s="8" t="s">
        <v>112</v>
      </c>
      <c r="D19" s="9" t="s">
        <v>113</v>
      </c>
      <c r="E19" s="10" t="str">
        <f>HYPERLINK("https://twitter.com/eldiariomurcia/status/1071426560152997889","1071426560152997889")</f>
        <v>1071426560152997889</v>
      </c>
      <c r="F19" s="11" t="s">
        <v>114</v>
      </c>
      <c r="G19" s="12"/>
      <c r="H19" s="12"/>
      <c r="I19" s="13">
        <v>0</v>
      </c>
      <c r="J19" s="13">
        <v>0</v>
      </c>
      <c r="K19" s="14" t="str">
        <f>HYPERLINK("https://www.hootsuite.com","Hootsuite Inc.")</f>
        <v>Hootsuite Inc.</v>
      </c>
      <c r="L19" s="13">
        <v>7001</v>
      </c>
      <c r="M19" s="13">
        <v>2164</v>
      </c>
      <c r="N19" s="13">
        <v>152</v>
      </c>
      <c r="O19" s="15"/>
      <c r="P19" s="6">
        <v>41907.596539351856</v>
      </c>
      <c r="Q19" s="16" t="s">
        <v>115</v>
      </c>
      <c r="R19" s="17" t="s">
        <v>116</v>
      </c>
      <c r="S19" s="11" t="s">
        <v>117</v>
      </c>
      <c r="T19" s="12"/>
      <c r="U19" s="10" t="str">
        <f>HYPERLINK("https://pbs.twimg.com/profile_images/972423446188699648/DsZx-3Jc.jpg","View")</f>
        <v>View</v>
      </c>
    </row>
    <row r="20" spans="1:21" ht="51">
      <c r="A20" s="6">
        <v>43442.686921296292</v>
      </c>
      <c r="B20" s="7" t="str">
        <f>HYPERLINK("https://twitter.com/aragonradio","@aragonradio")</f>
        <v>@aragonradio</v>
      </c>
      <c r="C20" s="8" t="s">
        <v>118</v>
      </c>
      <c r="D20" s="9" t="s">
        <v>119</v>
      </c>
      <c r="E20" s="10" t="str">
        <f>HYPERLINK("https://twitter.com/aragonradio/status/1071426467563798528","1071426467563798528")</f>
        <v>1071426467563798528</v>
      </c>
      <c r="F20" s="12"/>
      <c r="G20" s="11" t="s">
        <v>120</v>
      </c>
      <c r="H20" s="12"/>
      <c r="I20" s="13">
        <v>0</v>
      </c>
      <c r="J20" s="13">
        <v>0</v>
      </c>
      <c r="K20" s="14" t="str">
        <f>HYPERLINK("http://twitter.com","Twitter Web Client")</f>
        <v>Twitter Web Client</v>
      </c>
      <c r="L20" s="13">
        <v>29631</v>
      </c>
      <c r="M20" s="13">
        <v>238</v>
      </c>
      <c r="N20" s="13">
        <v>411</v>
      </c>
      <c r="O20" s="19" t="s">
        <v>44</v>
      </c>
      <c r="P20" s="6">
        <v>40715.501805555556</v>
      </c>
      <c r="Q20" s="16" t="s">
        <v>121</v>
      </c>
      <c r="R20" s="17" t="s">
        <v>122</v>
      </c>
      <c r="S20" s="11" t="s">
        <v>123</v>
      </c>
      <c r="T20" s="12"/>
      <c r="U20" s="10" t="str">
        <f>HYPERLINK("https://pbs.twimg.com/profile_images/888353617153077248/vOFjnDXU.jpg","View")</f>
        <v>View</v>
      </c>
    </row>
    <row r="21" spans="1:21" ht="30.6">
      <c r="A21" s="6">
        <v>43442.67586805555</v>
      </c>
      <c r="B21" s="7" t="str">
        <f>HYPERLINK("https://twitter.com/MARIAJ_SALADO","@MARIAJ_SALADO")</f>
        <v>@MARIAJ_SALADO</v>
      </c>
      <c r="C21" s="8" t="s">
        <v>125</v>
      </c>
      <c r="D21" s="9" t="s">
        <v>126</v>
      </c>
      <c r="E21" s="10" t="str">
        <f>HYPERLINK("https://twitter.com/MARIAJ_SALADO/status/1071422461319831552","1071422461319831552")</f>
        <v>1071422461319831552</v>
      </c>
      <c r="F21" s="11" t="s">
        <v>127</v>
      </c>
      <c r="G21" s="12"/>
      <c r="H21" s="12"/>
      <c r="I21" s="13">
        <v>0</v>
      </c>
      <c r="J21" s="13">
        <v>1</v>
      </c>
      <c r="K21" s="14" t="str">
        <f>HYPERLINK("http://www.crowdfireapp.com","Crowdfire - Go Big")</f>
        <v>Crowdfire - Go Big</v>
      </c>
      <c r="L21" s="13">
        <v>6912</v>
      </c>
      <c r="M21" s="13">
        <v>3075</v>
      </c>
      <c r="N21" s="13">
        <v>84</v>
      </c>
      <c r="O21" s="15"/>
      <c r="P21" s="6">
        <v>40721.614363425928</v>
      </c>
      <c r="Q21" s="16" t="s">
        <v>130</v>
      </c>
      <c r="R21" s="17" t="s">
        <v>131</v>
      </c>
      <c r="S21" s="12"/>
      <c r="T21" s="12"/>
      <c r="U21" s="10" t="str">
        <f>HYPERLINK("https://pbs.twimg.com/profile_images/1001117315566637056/7n7Si_YN.jpg","View")</f>
        <v>View</v>
      </c>
    </row>
    <row r="22" spans="1:21" ht="20.399999999999999">
      <c r="A22" s="6">
        <v>43442.67015046296</v>
      </c>
      <c r="B22" s="7" t="str">
        <f>HYPERLINK("https://twitter.com/A_Navalon98","@A_Navalon98")</f>
        <v>@A_Navalon98</v>
      </c>
      <c r="C22" s="8" t="s">
        <v>132</v>
      </c>
      <c r="D22" s="9" t="s">
        <v>133</v>
      </c>
      <c r="E22" s="10" t="str">
        <f>HYPERLINK("https://twitter.com/A_Navalon98/status/1071420389950136320","1071420389950136320")</f>
        <v>1071420389950136320</v>
      </c>
      <c r="F22" s="12"/>
      <c r="G22" s="12"/>
      <c r="H22" s="12"/>
      <c r="I22" s="13">
        <v>0</v>
      </c>
      <c r="J22" s="13">
        <v>0</v>
      </c>
      <c r="K22" s="14" t="str">
        <f t="shared" ref="K22:K23" si="1">HYPERLINK("http://twitter.com/download/android","Twitter for Android")</f>
        <v>Twitter for Android</v>
      </c>
      <c r="L22" s="13">
        <v>339</v>
      </c>
      <c r="M22" s="13">
        <v>462</v>
      </c>
      <c r="N22" s="13">
        <v>4</v>
      </c>
      <c r="O22" s="15"/>
      <c r="P22" s="6">
        <v>41109.474699074075</v>
      </c>
      <c r="Q22" s="16" t="s">
        <v>134</v>
      </c>
      <c r="R22" s="17" t="s">
        <v>135</v>
      </c>
      <c r="S22" s="12"/>
      <c r="T22" s="12"/>
      <c r="U22" s="10" t="str">
        <f>HYPERLINK("https://pbs.twimg.com/profile_images/1055219137839095808/DAdTSbVi.jpg","View")</f>
        <v>View</v>
      </c>
    </row>
    <row r="23" spans="1:21" ht="61.2">
      <c r="A23" s="6">
        <v>43442.666886574079</v>
      </c>
      <c r="B23" s="7" t="str">
        <f>HYPERLINK("https://twitter.com/Miki_Martinez","@Miki_Martinez")</f>
        <v>@Miki_Martinez</v>
      </c>
      <c r="C23" s="8" t="s">
        <v>136</v>
      </c>
      <c r="D23" s="9" t="s">
        <v>137</v>
      </c>
      <c r="E23" s="10" t="str">
        <f>HYPERLINK("https://twitter.com/Miki_Martinez/status/1071419208305688576","1071419208305688576")</f>
        <v>1071419208305688576</v>
      </c>
      <c r="F23" s="11" t="s">
        <v>138</v>
      </c>
      <c r="G23" s="12"/>
      <c r="H23" s="12"/>
      <c r="I23" s="13">
        <v>0</v>
      </c>
      <c r="J23" s="13">
        <v>0</v>
      </c>
      <c r="K23" s="14" t="str">
        <f t="shared" si="1"/>
        <v>Twitter for Android</v>
      </c>
      <c r="L23" s="13">
        <v>424</v>
      </c>
      <c r="M23" s="13">
        <v>435</v>
      </c>
      <c r="N23" s="13">
        <v>19</v>
      </c>
      <c r="O23" s="15"/>
      <c r="P23" s="6">
        <v>40314.567129629628</v>
      </c>
      <c r="Q23" s="12"/>
      <c r="R23" s="17" t="s">
        <v>139</v>
      </c>
      <c r="S23" s="12"/>
      <c r="T23" s="12"/>
      <c r="U23" s="10" t="str">
        <f>HYPERLINK("https://pbs.twimg.com/profile_images/1070729029135814656/c7wBEF4S.jpg","View")</f>
        <v>View</v>
      </c>
    </row>
    <row r="24" spans="1:21" ht="20.399999999999999">
      <c r="A24" s="6">
        <v>43442.665983796294</v>
      </c>
      <c r="B24" s="7" t="str">
        <f>HYPERLINK("https://twitter.com/AndresBlancoFer","@AndresBlancoFer")</f>
        <v>@AndresBlancoFer</v>
      </c>
      <c r="C24" s="8" t="s">
        <v>142</v>
      </c>
      <c r="D24" s="9" t="s">
        <v>143</v>
      </c>
      <c r="E24" s="10" t="str">
        <f>HYPERLINK("https://twitter.com/AndresBlancoFer/status/1071418878121701376","1071418878121701376")</f>
        <v>1071418878121701376</v>
      </c>
      <c r="F24" s="11" t="s">
        <v>144</v>
      </c>
      <c r="G24" s="12"/>
      <c r="H24" s="12"/>
      <c r="I24" s="13">
        <v>0</v>
      </c>
      <c r="J24" s="13">
        <v>0</v>
      </c>
      <c r="K24" s="14" t="str">
        <f>HYPERLINK("http://twitter.com","Twitter Web Client")</f>
        <v>Twitter Web Client</v>
      </c>
      <c r="L24" s="13">
        <v>232</v>
      </c>
      <c r="M24" s="13">
        <v>1977</v>
      </c>
      <c r="N24" s="13">
        <v>5</v>
      </c>
      <c r="O24" s="15"/>
      <c r="P24" s="6">
        <v>41043.774039351854</v>
      </c>
      <c r="Q24" s="16" t="s">
        <v>148</v>
      </c>
      <c r="R24" s="20"/>
      <c r="S24" s="12"/>
      <c r="T24" s="12"/>
      <c r="U24" s="10" t="str">
        <f>HYPERLINK("https://pbs.twimg.com/profile_images/2220834745/LA_TATA_Y_YO.jpg","View")</f>
        <v>View</v>
      </c>
    </row>
    <row r="25" spans="1:21" ht="30.6">
      <c r="A25" s="6">
        <v>43442.665914351848</v>
      </c>
      <c r="B25" s="7" t="str">
        <f>HYPERLINK("https://twitter.com/marlowphilippe","@marlowphilippe")</f>
        <v>@marlowphilippe</v>
      </c>
      <c r="C25" s="8" t="s">
        <v>149</v>
      </c>
      <c r="D25" s="9" t="s">
        <v>150</v>
      </c>
      <c r="E25" s="10" t="str">
        <f>HYPERLINK("https://twitter.com/marlowphilippe/status/1071418852435726336","1071418852435726336")</f>
        <v>1071418852435726336</v>
      </c>
      <c r="F25" s="11" t="s">
        <v>152</v>
      </c>
      <c r="G25" s="12"/>
      <c r="H25" s="12"/>
      <c r="I25" s="13">
        <v>0</v>
      </c>
      <c r="J25" s="13">
        <v>0</v>
      </c>
      <c r="K25" s="14" t="str">
        <f>HYPERLINK("http://twitter.com/download/android","Twitter for Android")</f>
        <v>Twitter for Android</v>
      </c>
      <c r="L25" s="13">
        <v>981</v>
      </c>
      <c r="M25" s="13">
        <v>947</v>
      </c>
      <c r="N25" s="13">
        <v>19</v>
      </c>
      <c r="O25" s="15"/>
      <c r="P25" s="6">
        <v>41292.842662037037</v>
      </c>
      <c r="Q25" s="12"/>
      <c r="R25" s="17" t="s">
        <v>154</v>
      </c>
      <c r="S25" s="12"/>
      <c r="T25" s="12"/>
      <c r="U25" s="10" t="str">
        <f>HYPERLINK("https://pbs.twimg.com/profile_images/700726760388689921/i-14plLL.jpg","View")</f>
        <v>View</v>
      </c>
    </row>
    <row r="26" spans="1:21" ht="20.399999999999999">
      <c r="A26" s="6">
        <v>43442.664097222223</v>
      </c>
      <c r="B26" s="7" t="str">
        <f>HYPERLINK("https://twitter.com/efejulian","@efejulian")</f>
        <v>@efejulian</v>
      </c>
      <c r="C26" s="8" t="s">
        <v>155</v>
      </c>
      <c r="D26" s="9" t="s">
        <v>50</v>
      </c>
      <c r="E26" s="10" t="str">
        <f>HYPERLINK("https://twitter.com/efejulian/status/1071418194408091649","1071418194408091649")</f>
        <v>1071418194408091649</v>
      </c>
      <c r="F26" s="11" t="s">
        <v>156</v>
      </c>
      <c r="G26" s="12"/>
      <c r="H26" s="12"/>
      <c r="I26" s="13">
        <v>0</v>
      </c>
      <c r="J26" s="13">
        <v>0</v>
      </c>
      <c r="K26" s="14" t="str">
        <f>HYPERLINK("http://www.facebook.com/twitter","Facebook")</f>
        <v>Facebook</v>
      </c>
      <c r="L26" s="13">
        <v>73</v>
      </c>
      <c r="M26" s="13">
        <v>267</v>
      </c>
      <c r="N26" s="13">
        <v>1</v>
      </c>
      <c r="O26" s="15"/>
      <c r="P26" s="6">
        <v>40473.52380787037</v>
      </c>
      <c r="Q26" s="16" t="s">
        <v>157</v>
      </c>
      <c r="R26" s="20"/>
      <c r="S26" s="12"/>
      <c r="T26" s="12"/>
      <c r="U26" s="10" t="str">
        <f>HYPERLINK("https://pbs.twimg.com/profile_images/1472640737/248597_201341659911742_100001077288337_540643_6849856_n.jpg","View")</f>
        <v>View</v>
      </c>
    </row>
    <row r="27" spans="1:21" ht="40.799999999999997">
      <c r="A27" s="6">
        <v>43442.659722222219</v>
      </c>
      <c r="B27" s="7" t="str">
        <f>HYPERLINK("https://twitter.com/20m","@20m")</f>
        <v>@20m</v>
      </c>
      <c r="C27" s="21" t="s">
        <v>158</v>
      </c>
      <c r="D27" s="9" t="s">
        <v>161</v>
      </c>
      <c r="E27" s="10" t="str">
        <f>HYPERLINK("https://twitter.com/20m/status/1071416609888194560","1071416609888194560")</f>
        <v>1071416609888194560</v>
      </c>
      <c r="F27" s="11" t="s">
        <v>162</v>
      </c>
      <c r="G27" s="12"/>
      <c r="H27" s="12"/>
      <c r="I27" s="13">
        <v>1</v>
      </c>
      <c r="J27" s="13">
        <v>3</v>
      </c>
      <c r="K27" s="14" t="str">
        <f>HYPERLINK("http://dogtrack.es","DogTrack_Oficial")</f>
        <v>DogTrack_Oficial</v>
      </c>
      <c r="L27" s="13">
        <v>1353522</v>
      </c>
      <c r="M27" s="13">
        <v>51093</v>
      </c>
      <c r="N27" s="13">
        <v>14084</v>
      </c>
      <c r="O27" s="19" t="s">
        <v>44</v>
      </c>
      <c r="P27" s="6">
        <v>39917.485891203702</v>
      </c>
      <c r="Q27" s="16" t="s">
        <v>86</v>
      </c>
      <c r="R27" s="17" t="s">
        <v>164</v>
      </c>
      <c r="S27" s="11" t="s">
        <v>165</v>
      </c>
      <c r="T27" s="12"/>
      <c r="U27" s="10" t="str">
        <f>HYPERLINK("https://pbs.twimg.com/profile_images/1013670314285420544/gwCE6EJr.jpg","View")</f>
        <v>View</v>
      </c>
    </row>
    <row r="28" spans="1:21" ht="20.399999999999999">
      <c r="A28" s="6">
        <v>43442.659282407403</v>
      </c>
      <c r="B28" s="7" t="str">
        <f>HYPERLINK("https://twitter.com/OBOSQUEMAXICO","@OBOSQUEMAXICO")</f>
        <v>@OBOSQUEMAXICO</v>
      </c>
      <c r="C28" s="8" t="s">
        <v>166</v>
      </c>
      <c r="D28" s="9" t="s">
        <v>66</v>
      </c>
      <c r="E28" s="10" t="str">
        <f>HYPERLINK("https://twitter.com/OBOSQUEMAXICO/status/1071416451389640706","1071416451389640706")</f>
        <v>1071416451389640706</v>
      </c>
      <c r="F28" s="11" t="s">
        <v>169</v>
      </c>
      <c r="G28" s="12"/>
      <c r="H28" s="12"/>
      <c r="I28" s="13">
        <v>0</v>
      </c>
      <c r="J28" s="13">
        <v>0</v>
      </c>
      <c r="K28" s="14" t="str">
        <f>HYPERLINK("http://www.facebook.com/twitter","Facebook")</f>
        <v>Facebook</v>
      </c>
      <c r="L28" s="13">
        <v>58</v>
      </c>
      <c r="M28" s="13">
        <v>5</v>
      </c>
      <c r="N28" s="13">
        <v>1</v>
      </c>
      <c r="O28" s="15"/>
      <c r="P28" s="6">
        <v>40687.501620370371</v>
      </c>
      <c r="Q28" s="16" t="s">
        <v>170</v>
      </c>
      <c r="R28" s="20"/>
      <c r="S28" s="11" t="s">
        <v>171</v>
      </c>
      <c r="T28" s="12"/>
      <c r="U28" s="10" t="str">
        <f>HYPERLINK("https://pbs.twimg.com/profile_images/1367176590/obosquemaxicologo.jpg","View")</f>
        <v>View</v>
      </c>
    </row>
    <row r="29" spans="1:21" ht="20.399999999999999">
      <c r="A29" s="6">
        <v>43442.659074074079</v>
      </c>
      <c r="B29" s="7" t="str">
        <f>HYPERLINK("https://twitter.com/CristoFeliz1","@CristoFeliz1")</f>
        <v>@CristoFeliz1</v>
      </c>
      <c r="C29" s="8" t="s">
        <v>172</v>
      </c>
      <c r="D29" s="9" t="s">
        <v>161</v>
      </c>
      <c r="E29" s="10" t="str">
        <f>HYPERLINK("https://twitter.com/CristoFeliz1/status/1071416373815824384","1071416373815824384")</f>
        <v>1071416373815824384</v>
      </c>
      <c r="F29" s="11" t="s">
        <v>173</v>
      </c>
      <c r="G29" s="11" t="s">
        <v>174</v>
      </c>
      <c r="H29" s="12"/>
      <c r="I29" s="13">
        <v>0</v>
      </c>
      <c r="J29" s="13">
        <v>0</v>
      </c>
      <c r="K29" s="14" t="str">
        <f>HYPERLINK("https://dlvrit.com/","dlvr.it")</f>
        <v>dlvr.it</v>
      </c>
      <c r="L29" s="13">
        <v>7015</v>
      </c>
      <c r="M29" s="13">
        <v>7733</v>
      </c>
      <c r="N29" s="13">
        <v>561</v>
      </c>
      <c r="O29" s="15"/>
      <c r="P29" s="6">
        <v>41186.866469907407</v>
      </c>
      <c r="Q29" s="16" t="s">
        <v>175</v>
      </c>
      <c r="R29" s="17" t="s">
        <v>176</v>
      </c>
      <c r="S29" s="12"/>
      <c r="T29" s="12"/>
      <c r="U29" s="10" t="str">
        <f>HYPERLINK("https://pbs.twimg.com/profile_images/1002564938911703040/1Wvxy6Jm.jpg","View")</f>
        <v>View</v>
      </c>
    </row>
    <row r="30" spans="1:21" ht="30.6">
      <c r="A30" s="6">
        <v>43442.658425925925</v>
      </c>
      <c r="B30" s="7" t="str">
        <f>HYPERLINK("https://twitter.com/MU1955","@MU1955")</f>
        <v>@MU1955</v>
      </c>
      <c r="C30" s="8" t="s">
        <v>177</v>
      </c>
      <c r="D30" s="9" t="s">
        <v>179</v>
      </c>
      <c r="E30" s="10" t="str">
        <f>HYPERLINK("https://twitter.com/MU1955/status/1071416140881149953","1071416140881149953")</f>
        <v>1071416140881149953</v>
      </c>
      <c r="F30" s="12"/>
      <c r="G30" s="12"/>
      <c r="H30" s="12"/>
      <c r="I30" s="13">
        <v>0</v>
      </c>
      <c r="J30" s="13">
        <v>3</v>
      </c>
      <c r="K30" s="14" t="str">
        <f>HYPERLINK("http://twitter.com/download/android","Twitter for Android")</f>
        <v>Twitter for Android</v>
      </c>
      <c r="L30" s="13">
        <v>230</v>
      </c>
      <c r="M30" s="13">
        <v>504</v>
      </c>
      <c r="N30" s="13">
        <v>0</v>
      </c>
      <c r="O30" s="15"/>
      <c r="P30" s="6">
        <v>40715.557268518518</v>
      </c>
      <c r="Q30" s="16" t="s">
        <v>180</v>
      </c>
      <c r="R30" s="20"/>
      <c r="S30" s="12"/>
      <c r="T30" s="12"/>
      <c r="U30" s="10" t="str">
        <f>HYPERLINK("https://pbs.twimg.com/profile_images/486488050269425664/6hRoZAEI.jpeg","View")</f>
        <v>View</v>
      </c>
    </row>
    <row r="31" spans="1:21" ht="20.399999999999999">
      <c r="A31" s="6">
        <v>43442.658425925925</v>
      </c>
      <c r="B31" s="7" t="str">
        <f>HYPERLINK("https://twitter.com/L20mOtros","@L20mOtros")</f>
        <v>@L20mOtros</v>
      </c>
      <c r="C31" s="8" t="s">
        <v>182</v>
      </c>
      <c r="D31" s="9" t="s">
        <v>161</v>
      </c>
      <c r="E31" s="10" t="str">
        <f>HYPERLINK("https://twitter.com/L20mOtros/status/1071416139937406976","1071416139937406976")</f>
        <v>1071416139937406976</v>
      </c>
      <c r="F31" s="11" t="s">
        <v>184</v>
      </c>
      <c r="G31" s="11" t="s">
        <v>185</v>
      </c>
      <c r="H31" s="12"/>
      <c r="I31" s="13">
        <v>0</v>
      </c>
      <c r="J31" s="13">
        <v>0</v>
      </c>
      <c r="K31" s="14" t="str">
        <f>HYPERLINK("http://dogtrack.es","DogTrack_Oficial")</f>
        <v>DogTrack_Oficial</v>
      </c>
      <c r="L31" s="13">
        <v>23</v>
      </c>
      <c r="M31" s="13">
        <v>8</v>
      </c>
      <c r="N31" s="13">
        <v>0</v>
      </c>
      <c r="O31" s="15"/>
      <c r="P31" s="6">
        <v>41285.602418981478</v>
      </c>
      <c r="Q31" s="12"/>
      <c r="R31" s="20"/>
      <c r="S31" s="11" t="s">
        <v>187</v>
      </c>
      <c r="T31" s="12"/>
      <c r="U31" s="10" t="str">
        <f>HYPERLINK("https://pbs.twimg.com/profile_images/3148562799/6854a445e373c5053b43f5c11d764b41.jpeg","View")</f>
        <v>View</v>
      </c>
    </row>
    <row r="32" spans="1:21" ht="40.799999999999997">
      <c r="A32" s="6">
        <v>43442.653506944444</v>
      </c>
      <c r="B32" s="7" t="str">
        <f>HYPERLINK("https://twitter.com/jatirado","@jatirado")</f>
        <v>@jatirado</v>
      </c>
      <c r="C32" s="8" t="s">
        <v>188</v>
      </c>
      <c r="D32" s="9" t="s">
        <v>161</v>
      </c>
      <c r="E32" s="10" t="str">
        <f>HYPERLINK("https://twitter.com/jatirado/status/1071414358121472001","1071414358121472001")</f>
        <v>1071414358121472001</v>
      </c>
      <c r="F32" s="11" t="s">
        <v>189</v>
      </c>
      <c r="G32" s="11" t="s">
        <v>190</v>
      </c>
      <c r="H32" s="12"/>
      <c r="I32" s="13">
        <v>3</v>
      </c>
      <c r="J32" s="13">
        <v>1</v>
      </c>
      <c r="K32" s="14" t="str">
        <f>HYPERLINK("https://dlvrit.com/","dlvr.it")</f>
        <v>dlvr.it</v>
      </c>
      <c r="L32" s="13">
        <v>81545</v>
      </c>
      <c r="M32" s="13">
        <v>49760</v>
      </c>
      <c r="N32" s="13">
        <v>1030</v>
      </c>
      <c r="O32" s="15"/>
      <c r="P32" s="6">
        <v>40353.552581018521</v>
      </c>
      <c r="Q32" s="16" t="s">
        <v>191</v>
      </c>
      <c r="R32" s="17" t="s">
        <v>192</v>
      </c>
      <c r="S32" s="11" t="s">
        <v>193</v>
      </c>
      <c r="T32" s="12"/>
      <c r="U32" s="10" t="str">
        <f>HYPERLINK("https://pbs.twimg.com/profile_images/485680559742791680/dg68o8vH.jpeg","View")</f>
        <v>View</v>
      </c>
    </row>
    <row r="33" spans="1:21" ht="40.799999999999997">
      <c r="A33" s="6">
        <v>43442.651631944449</v>
      </c>
      <c r="B33" s="7" t="str">
        <f>HYPERLINK("https://twitter.com/nnggJumilla","@nnggJumilla")</f>
        <v>@nnggJumilla</v>
      </c>
      <c r="C33" s="8" t="s">
        <v>194</v>
      </c>
      <c r="D33" s="9" t="s">
        <v>195</v>
      </c>
      <c r="E33" s="10" t="str">
        <f>HYPERLINK("https://twitter.com/nnggJumilla/status/1071413678937907200","1071413678937907200")</f>
        <v>1071413678937907200</v>
      </c>
      <c r="F33" s="11" t="s">
        <v>196</v>
      </c>
      <c r="G33" s="12"/>
      <c r="H33" s="12"/>
      <c r="I33" s="13">
        <v>0</v>
      </c>
      <c r="J33" s="13">
        <v>0</v>
      </c>
      <c r="K33" s="14" t="str">
        <f>HYPERLINK("http://www.facebook.com/twitter","Facebook")</f>
        <v>Facebook</v>
      </c>
      <c r="L33" s="13">
        <v>107</v>
      </c>
      <c r="M33" s="13">
        <v>52</v>
      </c>
      <c r="N33" s="13">
        <v>2</v>
      </c>
      <c r="O33" s="15"/>
      <c r="P33" s="6">
        <v>41464.557430555556</v>
      </c>
      <c r="Q33" s="16" t="s">
        <v>197</v>
      </c>
      <c r="R33" s="17" t="s">
        <v>198</v>
      </c>
      <c r="S33" s="11" t="s">
        <v>199</v>
      </c>
      <c r="T33" s="12"/>
      <c r="U33" s="10" t="str">
        <f>HYPERLINK("https://pbs.twimg.com/profile_images/378800000109181626/14d05926398a09955d3e2c9b640b3416.jpeg","View")</f>
        <v>View</v>
      </c>
    </row>
    <row r="34" spans="1:21" ht="20.399999999999999">
      <c r="A34" s="6">
        <v>43442.645833333328</v>
      </c>
      <c r="B34" s="7" t="str">
        <f>HYPERLINK("https://twitter.com/La7_tv","@La7_tv")</f>
        <v>@La7_tv</v>
      </c>
      <c r="C34" s="8" t="s">
        <v>200</v>
      </c>
      <c r="D34" s="9" t="s">
        <v>201</v>
      </c>
      <c r="E34" s="10" t="str">
        <f>HYPERLINK("https://twitter.com/La7_tv/status/1071411577096691714","1071411577096691714")</f>
        <v>1071411577096691714</v>
      </c>
      <c r="F34" s="11" t="s">
        <v>202</v>
      </c>
      <c r="G34" s="12"/>
      <c r="H34" s="12"/>
      <c r="I34" s="13">
        <v>0</v>
      </c>
      <c r="J34" s="13">
        <v>0</v>
      </c>
      <c r="K34" s="14" t="str">
        <f>HYPERLINK("https://about.twitter.com/products/tweetdeck","TweetDeck")</f>
        <v>TweetDeck</v>
      </c>
      <c r="L34" s="13">
        <v>17016</v>
      </c>
      <c r="M34" s="13">
        <v>917</v>
      </c>
      <c r="N34" s="13">
        <v>148</v>
      </c>
      <c r="O34" s="19" t="s">
        <v>44</v>
      </c>
      <c r="P34" s="6">
        <v>42121.578182870369</v>
      </c>
      <c r="Q34" s="16" t="s">
        <v>180</v>
      </c>
      <c r="R34" s="17" t="s">
        <v>204</v>
      </c>
      <c r="S34" s="11" t="s">
        <v>205</v>
      </c>
      <c r="T34" s="12"/>
      <c r="U34" s="10" t="str">
        <f>HYPERLINK("https://pbs.twimg.com/profile_images/603859282858246144/g6JFDMsK.jpg","View")</f>
        <v>View</v>
      </c>
    </row>
    <row r="35" spans="1:21" ht="40.799999999999997">
      <c r="A35" s="6">
        <v>43442.644594907411</v>
      </c>
      <c r="B35" s="7" t="str">
        <f>HYPERLINK("https://twitter.com/Indal42","@Indal42")</f>
        <v>@Indal42</v>
      </c>
      <c r="C35" s="8" t="s">
        <v>206</v>
      </c>
      <c r="D35" s="9" t="s">
        <v>207</v>
      </c>
      <c r="E35" s="10" t="str">
        <f>HYPERLINK("https://twitter.com/Indal42/status/1071411130046865409","1071411130046865409")</f>
        <v>1071411130046865409</v>
      </c>
      <c r="F35" s="16" t="s">
        <v>208</v>
      </c>
      <c r="G35" s="12"/>
      <c r="H35" s="12"/>
      <c r="I35" s="13">
        <v>0</v>
      </c>
      <c r="J35" s="13">
        <v>0</v>
      </c>
      <c r="K35" s="14" t="str">
        <f>HYPERLINK("http://twitter.com/download/iphone","Twitter for iPhone")</f>
        <v>Twitter for iPhone</v>
      </c>
      <c r="L35" s="13">
        <v>3558</v>
      </c>
      <c r="M35" s="13">
        <v>2549</v>
      </c>
      <c r="N35" s="13">
        <v>11</v>
      </c>
      <c r="O35" s="15"/>
      <c r="P35" s="6">
        <v>40236.897222222222</v>
      </c>
      <c r="Q35" s="16" t="s">
        <v>209</v>
      </c>
      <c r="R35" s="17" t="s">
        <v>210</v>
      </c>
      <c r="S35" s="12"/>
      <c r="T35" s="12"/>
      <c r="U35" s="10" t="str">
        <f>HYPERLINK("https://pbs.twimg.com/profile_images/686849186067800065/scQ6rYdX.jpg","View")</f>
        <v>View</v>
      </c>
    </row>
    <row r="36" spans="1:21" ht="40.799999999999997">
      <c r="A36" s="6">
        <v>43442.638402777782</v>
      </c>
      <c r="B36" s="7" t="str">
        <f t="shared" ref="B36:B37" si="2">HYPERLINK("https://twitter.com/EFE_Murcia","@EFE_Murcia")</f>
        <v>@EFE_Murcia</v>
      </c>
      <c r="C36" s="8" t="s">
        <v>211</v>
      </c>
      <c r="D36" s="9" t="s">
        <v>212</v>
      </c>
      <c r="E36" s="10" t="str">
        <f>HYPERLINK("https://twitter.com/EFE_Murcia/status/1071408886127738886","1071408886127738886")</f>
        <v>1071408886127738886</v>
      </c>
      <c r="F36" s="12"/>
      <c r="G36" s="11" t="s">
        <v>213</v>
      </c>
      <c r="H36" s="12"/>
      <c r="I36" s="13">
        <v>0</v>
      </c>
      <c r="J36" s="13">
        <v>0</v>
      </c>
      <c r="K36" s="14" t="str">
        <f t="shared" ref="K36:K38" si="3">HYPERLINK("http://twitter.com","Twitter Web Client")</f>
        <v>Twitter Web Client</v>
      </c>
      <c r="L36" s="13">
        <v>796</v>
      </c>
      <c r="M36" s="13">
        <v>218</v>
      </c>
      <c r="N36" s="13">
        <v>19</v>
      </c>
      <c r="O36" s="15"/>
      <c r="P36" s="6">
        <v>42080.789930555555</v>
      </c>
      <c r="Q36" s="16" t="s">
        <v>96</v>
      </c>
      <c r="R36" s="17" t="s">
        <v>214</v>
      </c>
      <c r="S36" s="11" t="s">
        <v>168</v>
      </c>
      <c r="T36" s="12"/>
      <c r="U36" s="10" t="str">
        <f t="shared" ref="U36:U37" si="4">HYPERLINK("https://pbs.twimg.com/profile_images/628209894202703873/iWZEsZZ9.png","View")</f>
        <v>View</v>
      </c>
    </row>
    <row r="37" spans="1:21" ht="40.799999999999997">
      <c r="A37" s="6">
        <v>43442.637881944444</v>
      </c>
      <c r="B37" s="7" t="str">
        <f t="shared" si="2"/>
        <v>@EFE_Murcia</v>
      </c>
      <c r="C37" s="8" t="s">
        <v>211</v>
      </c>
      <c r="D37" s="9" t="s">
        <v>215</v>
      </c>
      <c r="E37" s="10" t="str">
        <f>HYPERLINK("https://twitter.com/EFE_Murcia/status/1071408696608079873","1071408696608079873")</f>
        <v>1071408696608079873</v>
      </c>
      <c r="F37" s="12"/>
      <c r="G37" s="11" t="s">
        <v>216</v>
      </c>
      <c r="H37" s="12"/>
      <c r="I37" s="13">
        <v>0</v>
      </c>
      <c r="J37" s="13">
        <v>0</v>
      </c>
      <c r="K37" s="14" t="str">
        <f t="shared" si="3"/>
        <v>Twitter Web Client</v>
      </c>
      <c r="L37" s="13">
        <v>796</v>
      </c>
      <c r="M37" s="13">
        <v>218</v>
      </c>
      <c r="N37" s="13">
        <v>19</v>
      </c>
      <c r="O37" s="15"/>
      <c r="P37" s="6">
        <v>42080.789930555555</v>
      </c>
      <c r="Q37" s="16" t="s">
        <v>96</v>
      </c>
      <c r="R37" s="17" t="s">
        <v>214</v>
      </c>
      <c r="S37" s="11" t="s">
        <v>168</v>
      </c>
      <c r="T37" s="12"/>
      <c r="U37" s="10" t="str">
        <f t="shared" si="4"/>
        <v>View</v>
      </c>
    </row>
    <row r="38" spans="1:21" ht="40.799999999999997">
      <c r="A38" s="6">
        <v>43442.635555555556</v>
      </c>
      <c r="B38" s="7" t="str">
        <f>HYPERLINK("https://twitter.com/cayeruby","@cayeruby")</f>
        <v>@cayeruby</v>
      </c>
      <c r="C38" s="8" t="s">
        <v>218</v>
      </c>
      <c r="D38" s="9" t="s">
        <v>219</v>
      </c>
      <c r="E38" s="10" t="str">
        <f>HYPERLINK("https://twitter.com/cayeruby/status/1071407851816542210","1071407851816542210")</f>
        <v>1071407851816542210</v>
      </c>
      <c r="F38" s="12"/>
      <c r="G38" s="12"/>
      <c r="H38" s="12"/>
      <c r="I38" s="13">
        <v>2</v>
      </c>
      <c r="J38" s="13">
        <v>2</v>
      </c>
      <c r="K38" s="14" t="str">
        <f t="shared" si="3"/>
        <v>Twitter Web Client</v>
      </c>
      <c r="L38" s="13">
        <v>29765</v>
      </c>
      <c r="M38" s="13">
        <v>19555</v>
      </c>
      <c r="N38" s="13">
        <v>191</v>
      </c>
      <c r="O38" s="15"/>
      <c r="P38" s="6">
        <v>41316.125416666662</v>
      </c>
      <c r="Q38" s="16" t="s">
        <v>221</v>
      </c>
      <c r="R38" s="17" t="s">
        <v>222</v>
      </c>
      <c r="S38" s="12"/>
      <c r="T38" s="12"/>
      <c r="U38" s="10" t="str">
        <f>HYPERLINK("https://pbs.twimg.com/profile_images/1017740980752146432/Jrrw8PP1.jpg","View")</f>
        <v>View</v>
      </c>
    </row>
    <row r="39" spans="1:21" ht="51">
      <c r="A39" s="6">
        <v>43442.631099537037</v>
      </c>
      <c r="B39" s="7" t="str">
        <f>HYPERLINK("https://twitter.com/QuepasaenMurcia","@QuepasaenMurcia")</f>
        <v>@QuepasaenMurcia</v>
      </c>
      <c r="C39" s="8" t="s">
        <v>225</v>
      </c>
      <c r="D39" s="9" t="s">
        <v>226</v>
      </c>
      <c r="E39" s="10" t="str">
        <f>HYPERLINK("https://twitter.com/QuepasaenMurcia/status/1071406236535422976","1071406236535422976")</f>
        <v>1071406236535422976</v>
      </c>
      <c r="F39" s="11" t="s">
        <v>227</v>
      </c>
      <c r="G39" s="11" t="s">
        <v>228</v>
      </c>
      <c r="H39" s="12"/>
      <c r="I39" s="13">
        <v>0</v>
      </c>
      <c r="J39" s="13">
        <v>0</v>
      </c>
      <c r="K39" s="14" t="str">
        <f>HYPERLINK("https://dlvrit.com/","dlvr.it")</f>
        <v>dlvr.it</v>
      </c>
      <c r="L39" s="13">
        <v>23012</v>
      </c>
      <c r="M39" s="13">
        <v>5278</v>
      </c>
      <c r="N39" s="13">
        <v>270</v>
      </c>
      <c r="O39" s="15"/>
      <c r="P39" s="6">
        <v>40691.490717592591</v>
      </c>
      <c r="Q39" s="16" t="s">
        <v>229</v>
      </c>
      <c r="R39" s="17" t="s">
        <v>230</v>
      </c>
      <c r="S39" s="11" t="s">
        <v>231</v>
      </c>
      <c r="T39" s="12"/>
      <c r="U39" s="10" t="str">
        <f>HYPERLINK("https://pbs.twimg.com/profile_images/722037889530523649/EzpDn4ox.jpg","View")</f>
        <v>View</v>
      </c>
    </row>
    <row r="40" spans="1:21" ht="51">
      <c r="A40" s="6">
        <v>43442.63013888889</v>
      </c>
      <c r="B40" s="7" t="str">
        <f>HYPERLINK("https://twitter.com/somosregion","@somosregion")</f>
        <v>@somosregion</v>
      </c>
      <c r="C40" s="8" t="s">
        <v>234</v>
      </c>
      <c r="D40" s="9" t="s">
        <v>235</v>
      </c>
      <c r="E40" s="10" t="str">
        <f>HYPERLINK("https://twitter.com/somosregion/status/1071405889444331520","1071405889444331520")</f>
        <v>1071405889444331520</v>
      </c>
      <c r="F40" s="11" t="s">
        <v>236</v>
      </c>
      <c r="G40" s="12"/>
      <c r="H40" s="12"/>
      <c r="I40" s="13">
        <v>13</v>
      </c>
      <c r="J40" s="13">
        <v>16</v>
      </c>
      <c r="K40" s="14" t="str">
        <f t="shared" ref="K40:K42" si="5">HYPERLINK("http://twitter.com/download/iphone","Twitter for iPhone")</f>
        <v>Twitter for iPhone</v>
      </c>
      <c r="L40" s="13">
        <v>1415</v>
      </c>
      <c r="M40" s="13">
        <v>705</v>
      </c>
      <c r="N40" s="13">
        <v>13</v>
      </c>
      <c r="O40" s="15"/>
      <c r="P40" s="6">
        <v>43123.479537037041</v>
      </c>
      <c r="Q40" s="16" t="s">
        <v>237</v>
      </c>
      <c r="R40" s="17" t="s">
        <v>238</v>
      </c>
      <c r="S40" s="11" t="s">
        <v>239</v>
      </c>
      <c r="T40" s="12"/>
      <c r="U40" s="10" t="str">
        <f>HYPERLINK("https://pbs.twimg.com/profile_images/984903934845292550/6BPa5Opf.jpg","View")</f>
        <v>View</v>
      </c>
    </row>
    <row r="41" spans="1:21" ht="51">
      <c r="A41" s="6">
        <v>43442.628761574073</v>
      </c>
      <c r="B41" s="7" t="str">
        <f>HYPERLINK("https://twitter.com/soymarcosalonso","@soymarcosalonso")</f>
        <v>@soymarcosalonso</v>
      </c>
      <c r="C41" s="8" t="s">
        <v>240</v>
      </c>
      <c r="D41" s="9" t="s">
        <v>241</v>
      </c>
      <c r="E41" s="10" t="str">
        <f>HYPERLINK("https://twitter.com/soymarcosalonso/status/1071405389751746560","1071405389751746560")</f>
        <v>1071405389751746560</v>
      </c>
      <c r="F41" s="11" t="s">
        <v>242</v>
      </c>
      <c r="G41" s="12"/>
      <c r="H41" s="12"/>
      <c r="I41" s="13">
        <v>0</v>
      </c>
      <c r="J41" s="13">
        <v>0</v>
      </c>
      <c r="K41" s="14" t="str">
        <f t="shared" si="5"/>
        <v>Twitter for iPhone</v>
      </c>
      <c r="L41" s="13">
        <v>767</v>
      </c>
      <c r="M41" s="13">
        <v>215</v>
      </c>
      <c r="N41" s="13">
        <v>0</v>
      </c>
      <c r="O41" s="15"/>
      <c r="P41" s="6">
        <v>42210.619710648149</v>
      </c>
      <c r="Q41" s="16" t="s">
        <v>243</v>
      </c>
      <c r="R41" s="17" t="s">
        <v>244</v>
      </c>
      <c r="S41" s="11" t="s">
        <v>245</v>
      </c>
      <c r="T41" s="12"/>
      <c r="U41" s="10" t="str">
        <f>HYPERLINK("https://pbs.twimg.com/profile_images/1040590721735172096/GHpzNIja.jpg","View")</f>
        <v>View</v>
      </c>
    </row>
    <row r="42" spans="1:21" ht="51">
      <c r="A42" s="6">
        <v>43442.627766203703</v>
      </c>
      <c r="B42" s="7" t="str">
        <f>HYPERLINK("https://twitter.com/tu_matar_murcia","@tu_matar_murcia")</f>
        <v>@tu_matar_murcia</v>
      </c>
      <c r="C42" s="8" t="s">
        <v>246</v>
      </c>
      <c r="D42" s="9" t="s">
        <v>247</v>
      </c>
      <c r="E42" s="10" t="str">
        <f>HYPERLINK("https://twitter.com/tu_matar_murcia/status/1071405031168114688","1071405031168114688")</f>
        <v>1071405031168114688</v>
      </c>
      <c r="F42" s="12"/>
      <c r="G42" s="11" t="s">
        <v>248</v>
      </c>
      <c r="H42" s="12"/>
      <c r="I42" s="13">
        <v>16</v>
      </c>
      <c r="J42" s="13">
        <v>13</v>
      </c>
      <c r="K42" s="14" t="str">
        <f t="shared" si="5"/>
        <v>Twitter for iPhone</v>
      </c>
      <c r="L42" s="13">
        <v>132</v>
      </c>
      <c r="M42" s="13">
        <v>1</v>
      </c>
      <c r="N42" s="13">
        <v>0</v>
      </c>
      <c r="O42" s="15"/>
      <c r="P42" s="6">
        <v>43374.921377314815</v>
      </c>
      <c r="Q42" s="16" t="s">
        <v>96</v>
      </c>
      <c r="R42" s="20"/>
      <c r="S42" s="12"/>
      <c r="T42" s="12"/>
      <c r="U42" s="10" t="str">
        <f>HYPERLINK("https://pbs.twimg.com/profile_images/1046855294226235392/LSjjwENL.jpg","View")</f>
        <v>View</v>
      </c>
    </row>
    <row r="43" spans="1:21" ht="30.6">
      <c r="A43" s="6">
        <v>43442.622812500005</v>
      </c>
      <c r="B43" s="7" t="str">
        <f>HYPERLINK("https://twitter.com/EFEnoticias_ES","@EFEnoticias_ES")</f>
        <v>@EFEnoticias_ES</v>
      </c>
      <c r="C43" s="8" t="s">
        <v>250</v>
      </c>
      <c r="D43" s="9" t="s">
        <v>251</v>
      </c>
      <c r="E43" s="10" t="str">
        <f>HYPERLINK("https://twitter.com/EFEnoticias_ES/status/1071403233309065216","1071403233309065216")</f>
        <v>1071403233309065216</v>
      </c>
      <c r="F43" s="12"/>
      <c r="G43" s="12"/>
      <c r="H43" s="12"/>
      <c r="I43" s="13">
        <v>0</v>
      </c>
      <c r="J43" s="13">
        <v>2</v>
      </c>
      <c r="K43" s="14" t="str">
        <f>HYPERLINK("http://twitter.com","Twitter Web Client")</f>
        <v>Twitter Web Client</v>
      </c>
      <c r="L43" s="13">
        <v>7160</v>
      </c>
      <c r="M43" s="13">
        <v>37</v>
      </c>
      <c r="N43" s="13">
        <v>96</v>
      </c>
      <c r="O43" s="15"/>
      <c r="P43" s="6">
        <v>41710.567465277782</v>
      </c>
      <c r="Q43" s="16" t="s">
        <v>48</v>
      </c>
      <c r="R43" s="17" t="s">
        <v>252</v>
      </c>
      <c r="S43" s="11" t="s">
        <v>168</v>
      </c>
      <c r="T43" s="12"/>
      <c r="U43" s="10" t="str">
        <f>HYPERLINK("https://pbs.twimg.com/profile_images/930868948211552256/D5EpVtBi.jpg","View")</f>
        <v>View</v>
      </c>
    </row>
    <row r="44" spans="1:21" ht="40.799999999999997">
      <c r="A44" s="6">
        <v>43442.62222222222</v>
      </c>
      <c r="B44" s="7" t="str">
        <f>HYPERLINK("https://twitter.com/MarianoSoto1972","@MarianoSoto1972")</f>
        <v>@MarianoSoto1972</v>
      </c>
      <c r="C44" s="8" t="s">
        <v>254</v>
      </c>
      <c r="D44" s="9" t="s">
        <v>150</v>
      </c>
      <c r="E44" s="10" t="str">
        <f>HYPERLINK("https://twitter.com/MarianoSoto1972/status/1071403019495972865","1071403019495972865")</f>
        <v>1071403019495972865</v>
      </c>
      <c r="F44" s="11" t="s">
        <v>152</v>
      </c>
      <c r="G44" s="12"/>
      <c r="H44" s="12"/>
      <c r="I44" s="13">
        <v>0</v>
      </c>
      <c r="J44" s="13">
        <v>0</v>
      </c>
      <c r="K44" s="14" t="str">
        <f t="shared" ref="K44:K45" si="6">HYPERLINK("http://www.facebook.com/twitter","Facebook")</f>
        <v>Facebook</v>
      </c>
      <c r="L44" s="13">
        <v>1991</v>
      </c>
      <c r="M44" s="13">
        <v>690</v>
      </c>
      <c r="N44" s="13">
        <v>75</v>
      </c>
      <c r="O44" s="15"/>
      <c r="P44" s="6">
        <v>41199.676516203705</v>
      </c>
      <c r="Q44" s="16" t="s">
        <v>255</v>
      </c>
      <c r="R44" s="17" t="s">
        <v>256</v>
      </c>
      <c r="S44" s="11" t="s">
        <v>257</v>
      </c>
      <c r="T44" s="12"/>
      <c r="U44" s="10" t="str">
        <f>HYPERLINK("https://pbs.twimg.com/profile_images/985911578166996992/HfECwexn.jpg","View")</f>
        <v>View</v>
      </c>
    </row>
    <row r="45" spans="1:21" ht="40.799999999999997">
      <c r="A45" s="6">
        <v>43442.622118055559</v>
      </c>
      <c r="B45" s="7" t="str">
        <f>HYPERLINK("https://twitter.com/crccar","@crccar")</f>
        <v>@crccar</v>
      </c>
      <c r="C45" s="8" t="s">
        <v>258</v>
      </c>
      <c r="D45" s="9" t="s">
        <v>150</v>
      </c>
      <c r="E45" s="10" t="str">
        <f>HYPERLINK("https://twitter.com/crccar/status/1071402984523878405","1071402984523878405")</f>
        <v>1071402984523878405</v>
      </c>
      <c r="F45" s="11" t="s">
        <v>152</v>
      </c>
      <c r="G45" s="12"/>
      <c r="H45" s="12"/>
      <c r="I45" s="13">
        <v>0</v>
      </c>
      <c r="J45" s="13">
        <v>1</v>
      </c>
      <c r="K45" s="14" t="str">
        <f t="shared" si="6"/>
        <v>Facebook</v>
      </c>
      <c r="L45" s="13">
        <v>641</v>
      </c>
      <c r="M45" s="13">
        <v>75</v>
      </c>
      <c r="N45" s="13">
        <v>8</v>
      </c>
      <c r="O45" s="15"/>
      <c r="P45" s="6">
        <v>41198.646655092591</v>
      </c>
      <c r="Q45" s="16" t="s">
        <v>259</v>
      </c>
      <c r="R45" s="17" t="s">
        <v>260</v>
      </c>
      <c r="S45" s="11" t="s">
        <v>261</v>
      </c>
      <c r="T45" s="12"/>
      <c r="U45" s="10" t="str">
        <f>HYPERLINK("https://pbs.twimg.com/profile_images/3409107571/c8ec7c0c55f329cc0b0ef96bb7e06692.jpeg","View")</f>
        <v>View</v>
      </c>
    </row>
    <row r="46" spans="1:21" ht="40.799999999999997">
      <c r="A46" s="6">
        <v>43442.615543981483</v>
      </c>
      <c r="B46" s="7" t="str">
        <f>HYPERLINK("https://twitter.com/Esopmonty","@Esopmonty")</f>
        <v>@Esopmonty</v>
      </c>
      <c r="C46" s="8" t="s">
        <v>262</v>
      </c>
      <c r="D46" s="9" t="s">
        <v>263</v>
      </c>
      <c r="E46" s="10" t="str">
        <f>HYPERLINK("https://twitter.com/Esopmonty/status/1071400598518595586","1071400598518595586")</f>
        <v>1071400598518595586</v>
      </c>
      <c r="F46" s="11" t="s">
        <v>264</v>
      </c>
      <c r="G46" s="11" t="s">
        <v>265</v>
      </c>
      <c r="H46" s="12"/>
      <c r="I46" s="13">
        <v>0</v>
      </c>
      <c r="J46" s="13">
        <v>1</v>
      </c>
      <c r="K46" s="14" t="str">
        <f t="shared" ref="K46:K48" si="7">HYPERLINK("http://twitter.com/download/android","Twitter for Android")</f>
        <v>Twitter for Android</v>
      </c>
      <c r="L46" s="13">
        <v>575</v>
      </c>
      <c r="M46" s="13">
        <v>394</v>
      </c>
      <c r="N46" s="13">
        <v>4</v>
      </c>
      <c r="O46" s="15"/>
      <c r="P46" s="6">
        <v>43183.948437500003</v>
      </c>
      <c r="Q46" s="12"/>
      <c r="R46" s="17" t="s">
        <v>266</v>
      </c>
      <c r="S46" s="12"/>
      <c r="T46" s="12"/>
      <c r="U46" s="10" t="str">
        <f>HYPERLINK("https://pbs.twimg.com/profile_images/1063184814730285056/-CDSRE3M.jpg","View")</f>
        <v>View</v>
      </c>
    </row>
    <row r="47" spans="1:21" ht="40.799999999999997">
      <c r="A47" s="6">
        <v>43442.614293981482</v>
      </c>
      <c r="B47" s="7" t="str">
        <f>HYPERLINK("https://twitter.com/fidelfotografo","@fidelfotografo")</f>
        <v>@fidelfotografo</v>
      </c>
      <c r="C47" s="8" t="s">
        <v>268</v>
      </c>
      <c r="D47" s="9" t="s">
        <v>269</v>
      </c>
      <c r="E47" s="10" t="str">
        <f>HYPERLINK("https://twitter.com/fidelfotografo/status/1071400145584119810","1071400145584119810")</f>
        <v>1071400145584119810</v>
      </c>
      <c r="F47" s="11" t="s">
        <v>127</v>
      </c>
      <c r="G47" s="12"/>
      <c r="H47" s="12"/>
      <c r="I47" s="13">
        <v>0</v>
      </c>
      <c r="J47" s="13">
        <v>0</v>
      </c>
      <c r="K47" s="14" t="str">
        <f t="shared" si="7"/>
        <v>Twitter for Android</v>
      </c>
      <c r="L47" s="13">
        <v>820</v>
      </c>
      <c r="M47" s="13">
        <v>789</v>
      </c>
      <c r="N47" s="13">
        <v>27</v>
      </c>
      <c r="O47" s="15"/>
      <c r="P47" s="6">
        <v>40281.511516203704</v>
      </c>
      <c r="Q47" s="12"/>
      <c r="R47" s="17" t="s">
        <v>271</v>
      </c>
      <c r="S47" s="12"/>
      <c r="T47" s="12"/>
      <c r="U47" s="10" t="str">
        <f>HYPERLINK("https://pbs.twimg.com/profile_images/1035884598146859008/2TVsFgRl.jpg","View")</f>
        <v>View</v>
      </c>
    </row>
    <row r="48" spans="1:21" ht="20.399999999999999">
      <c r="A48" s="6">
        <v>43442.610833333332</v>
      </c>
      <c r="B48" s="7" t="str">
        <f>HYPERLINK("https://twitter.com/manolinelreal","@manolinelreal")</f>
        <v>@manolinelreal</v>
      </c>
      <c r="C48" s="8" t="s">
        <v>272</v>
      </c>
      <c r="D48" s="9" t="s">
        <v>273</v>
      </c>
      <c r="E48" s="10" t="str">
        <f>HYPERLINK("https://twitter.com/manolinelreal/status/1071398893081030656","1071398893081030656")</f>
        <v>1071398893081030656</v>
      </c>
      <c r="F48" s="11" t="s">
        <v>144</v>
      </c>
      <c r="G48" s="12"/>
      <c r="H48" s="12"/>
      <c r="I48" s="13">
        <v>0</v>
      </c>
      <c r="J48" s="13">
        <v>0</v>
      </c>
      <c r="K48" s="14" t="str">
        <f t="shared" si="7"/>
        <v>Twitter for Android</v>
      </c>
      <c r="L48" s="13">
        <v>2407</v>
      </c>
      <c r="M48" s="13">
        <v>2338</v>
      </c>
      <c r="N48" s="13">
        <v>22</v>
      </c>
      <c r="O48" s="15"/>
      <c r="P48" s="6">
        <v>41276.882627314815</v>
      </c>
      <c r="Q48" s="12"/>
      <c r="R48" s="17" t="s">
        <v>276</v>
      </c>
      <c r="S48" s="12"/>
      <c r="T48" s="12"/>
      <c r="U48" s="10" t="str">
        <f>HYPERLINK("https://pbs.twimg.com/profile_images/1060287423475867649/Ko1nWlY_.jpg","View")</f>
        <v>View</v>
      </c>
    </row>
    <row r="49" spans="1:21" ht="20.399999999999999">
      <c r="A49" s="6">
        <v>43442.61</v>
      </c>
      <c r="B49" s="7" t="str">
        <f>HYPERLINK("https://twitter.com/elisadocio","@elisadocio")</f>
        <v>@elisadocio</v>
      </c>
      <c r="C49" s="8" t="s">
        <v>278</v>
      </c>
      <c r="D49" s="9" t="s">
        <v>273</v>
      </c>
      <c r="E49" s="10" t="str">
        <f>HYPERLINK("https://twitter.com/elisadocio/status/1071398589887377414","1071398589887377414")</f>
        <v>1071398589887377414</v>
      </c>
      <c r="F49" s="11" t="s">
        <v>144</v>
      </c>
      <c r="G49" s="12"/>
      <c r="H49" s="12"/>
      <c r="I49" s="13">
        <v>0</v>
      </c>
      <c r="J49" s="13">
        <v>0</v>
      </c>
      <c r="K49" s="14" t="str">
        <f>HYPERLINK("http://www.facebook.com/twitter","Facebook")</f>
        <v>Facebook</v>
      </c>
      <c r="L49" s="13">
        <v>208</v>
      </c>
      <c r="M49" s="13">
        <v>359</v>
      </c>
      <c r="N49" s="13">
        <v>3</v>
      </c>
      <c r="O49" s="15"/>
      <c r="P49" s="6">
        <v>39808.986134259263</v>
      </c>
      <c r="Q49" s="16" t="s">
        <v>280</v>
      </c>
      <c r="R49" s="20"/>
      <c r="S49" s="11" t="s">
        <v>281</v>
      </c>
      <c r="T49" s="12"/>
      <c r="U49" s="10" t="str">
        <f>HYPERLINK("https://pbs.twimg.com/profile_images/106544839/pa310035_edited2.jpg","View")</f>
        <v>View</v>
      </c>
    </row>
    <row r="50" spans="1:21" ht="20.399999999999999">
      <c r="A50" s="6">
        <v>43442.596145833333</v>
      </c>
      <c r="B50" s="7" t="str">
        <f>HYPERLINK("https://twitter.com/HimarRT","@HimarRT")</f>
        <v>@HimarRT</v>
      </c>
      <c r="C50" s="8" t="s">
        <v>282</v>
      </c>
      <c r="D50" s="9" t="s">
        <v>283</v>
      </c>
      <c r="E50" s="10" t="str">
        <f>HYPERLINK("https://twitter.com/HimarRT/status/1071393570664407040","1071393570664407040")</f>
        <v>1071393570664407040</v>
      </c>
      <c r="F50" s="12"/>
      <c r="G50" s="12"/>
      <c r="H50" s="12"/>
      <c r="I50" s="13">
        <v>0</v>
      </c>
      <c r="J50" s="13">
        <v>1</v>
      </c>
      <c r="K50" s="14" t="str">
        <f t="shared" ref="K50:K53" si="8">HYPERLINK("http://twitter.com/download/android","Twitter for Android")</f>
        <v>Twitter for Android</v>
      </c>
      <c r="L50" s="13">
        <v>157</v>
      </c>
      <c r="M50" s="13">
        <v>270</v>
      </c>
      <c r="N50" s="13">
        <v>0</v>
      </c>
      <c r="O50" s="15"/>
      <c r="P50" s="6">
        <v>41122.928877314815</v>
      </c>
      <c r="Q50" s="16" t="s">
        <v>284</v>
      </c>
      <c r="R50" s="17" t="s">
        <v>285</v>
      </c>
      <c r="S50" s="12"/>
      <c r="T50" s="12"/>
      <c r="U50" s="10" t="str">
        <f>HYPERLINK("https://pbs.twimg.com/profile_images/1029751045587644416/31fucPHK.jpg","View")</f>
        <v>View</v>
      </c>
    </row>
    <row r="51" spans="1:21" ht="20.399999999999999">
      <c r="A51" s="6">
        <v>43442.593217592592</v>
      </c>
      <c r="B51" s="7" t="str">
        <f>HYPERLINK("https://twitter.com/PrimaPrado","@PrimaPrado")</f>
        <v>@PrimaPrado</v>
      </c>
      <c r="C51" s="8" t="s">
        <v>286</v>
      </c>
      <c r="D51" s="9" t="s">
        <v>287</v>
      </c>
      <c r="E51" s="10" t="str">
        <f>HYPERLINK("https://twitter.com/PrimaPrado/status/1071392511514546176","1071392511514546176")</f>
        <v>1071392511514546176</v>
      </c>
      <c r="F51" s="12"/>
      <c r="G51" s="12"/>
      <c r="H51" s="12"/>
      <c r="I51" s="13">
        <v>0</v>
      </c>
      <c r="J51" s="13">
        <v>0</v>
      </c>
      <c r="K51" s="14" t="str">
        <f t="shared" si="8"/>
        <v>Twitter for Android</v>
      </c>
      <c r="L51" s="13">
        <v>89</v>
      </c>
      <c r="M51" s="13">
        <v>83</v>
      </c>
      <c r="N51" s="13">
        <v>3</v>
      </c>
      <c r="O51" s="15"/>
      <c r="P51" s="6">
        <v>41889.945266203707</v>
      </c>
      <c r="Q51" s="12"/>
      <c r="R51" s="17" t="s">
        <v>288</v>
      </c>
      <c r="S51" s="12"/>
      <c r="T51" s="12"/>
      <c r="U51" s="10" t="str">
        <f>HYPERLINK("https://pbs.twimg.com/profile_images/509025857914933248/2vnhP4wY.png","View")</f>
        <v>View</v>
      </c>
    </row>
    <row r="52" spans="1:21" ht="51">
      <c r="A52" s="6">
        <v>43442.590902777782</v>
      </c>
      <c r="B52" s="7" t="str">
        <f>HYPERLINK("https://twitter.com/gonzaleztejeda","@gonzaleztejeda")</f>
        <v>@gonzaleztejeda</v>
      </c>
      <c r="C52" s="8" t="s">
        <v>289</v>
      </c>
      <c r="D52" s="9" t="s">
        <v>290</v>
      </c>
      <c r="E52" s="10" t="str">
        <f>HYPERLINK("https://twitter.com/gonzaleztejeda/status/1071391672976728064","1071391672976728064")</f>
        <v>1071391672976728064</v>
      </c>
      <c r="F52" s="16" t="s">
        <v>291</v>
      </c>
      <c r="G52" s="12"/>
      <c r="H52" s="12"/>
      <c r="I52" s="13">
        <v>0</v>
      </c>
      <c r="J52" s="13">
        <v>1</v>
      </c>
      <c r="K52" s="14" t="str">
        <f t="shared" si="8"/>
        <v>Twitter for Android</v>
      </c>
      <c r="L52" s="13">
        <v>179</v>
      </c>
      <c r="M52" s="13">
        <v>309</v>
      </c>
      <c r="N52" s="13">
        <v>5</v>
      </c>
      <c r="O52" s="15"/>
      <c r="P52" s="6">
        <v>40584.30133101852</v>
      </c>
      <c r="Q52" s="16" t="s">
        <v>292</v>
      </c>
      <c r="R52" s="17" t="s">
        <v>293</v>
      </c>
      <c r="S52" s="12"/>
      <c r="T52" s="12"/>
      <c r="U52" s="10" t="str">
        <f>HYPERLINK("https://pbs.twimg.com/profile_images/934685526594084864/3gDOgI1q.jpg","View")</f>
        <v>View</v>
      </c>
    </row>
    <row r="53" spans="1:21" ht="40.799999999999997">
      <c r="A53" s="6">
        <v>43442.585277777776</v>
      </c>
      <c r="B53" s="7" t="str">
        <f>HYPERLINK("https://twitter.com/n0brainn0future","@n0brainn0future")</f>
        <v>@n0brainn0future</v>
      </c>
      <c r="C53" s="8" t="s">
        <v>34</v>
      </c>
      <c r="D53" s="9" t="s">
        <v>35</v>
      </c>
      <c r="E53" s="10" t="str">
        <f>HYPERLINK("https://twitter.com/n0brainn0future/status/1071389631789322251","1071389631789322251")</f>
        <v>1071389631789322251</v>
      </c>
      <c r="F53" s="12"/>
      <c r="G53" s="11" t="s">
        <v>39</v>
      </c>
      <c r="H53" s="12"/>
      <c r="I53" s="13">
        <v>0</v>
      </c>
      <c r="J53" s="13">
        <v>0</v>
      </c>
      <c r="K53" s="14" t="str">
        <f t="shared" si="8"/>
        <v>Twitter for Android</v>
      </c>
      <c r="L53" s="13">
        <v>2586</v>
      </c>
      <c r="M53" s="13">
        <v>2608</v>
      </c>
      <c r="N53" s="13">
        <v>4</v>
      </c>
      <c r="O53" s="15"/>
      <c r="P53" s="6">
        <v>43228.897094907406</v>
      </c>
      <c r="Q53" s="12"/>
      <c r="R53" s="17" t="s">
        <v>40</v>
      </c>
      <c r="S53" s="12"/>
      <c r="T53" s="12"/>
      <c r="U53" s="10" t="str">
        <f>HYPERLINK("https://pbs.twimg.com/profile_images/1047852956190740480/ib7j2bg6.jpg","View")</f>
        <v>View</v>
      </c>
    </row>
    <row r="54" spans="1:21" ht="40.799999999999997">
      <c r="A54" s="6">
        <v>43442.583437499998</v>
      </c>
      <c r="B54" s="7" t="str">
        <f>HYPERLINK("https://twitter.com/DRYmadrid","@DRYmadrid")</f>
        <v>@DRYmadrid</v>
      </c>
      <c r="C54" s="8" t="s">
        <v>294</v>
      </c>
      <c r="D54" s="9" t="s">
        <v>295</v>
      </c>
      <c r="E54" s="10" t="str">
        <f>HYPERLINK("https://twitter.com/DRYmadrid/status/1071388965603823617","1071388965603823617")</f>
        <v>1071388965603823617</v>
      </c>
      <c r="F54" s="11" t="s">
        <v>296</v>
      </c>
      <c r="G54" s="12"/>
      <c r="H54" s="12"/>
      <c r="I54" s="13">
        <v>4</v>
      </c>
      <c r="J54" s="13">
        <v>2</v>
      </c>
      <c r="K54" s="14" t="str">
        <f>HYPERLINK("http://www.facebook.com/twitter","Facebook")</f>
        <v>Facebook</v>
      </c>
      <c r="L54" s="13">
        <v>30015</v>
      </c>
      <c r="M54" s="13">
        <v>1564</v>
      </c>
      <c r="N54" s="13">
        <v>665</v>
      </c>
      <c r="O54" s="15"/>
      <c r="P54" s="6">
        <v>40680.0078125</v>
      </c>
      <c r="Q54" s="16" t="s">
        <v>191</v>
      </c>
      <c r="R54" s="17" t="s">
        <v>297</v>
      </c>
      <c r="S54" s="11" t="s">
        <v>298</v>
      </c>
      <c r="T54" s="12"/>
      <c r="U54" s="10" t="str">
        <f>HYPERLINK("https://pbs.twimg.com/profile_images/2779083725/26a5da2da144938bba56e71e88561381.jpeg","View")</f>
        <v>View</v>
      </c>
    </row>
    <row r="55" spans="1:21" ht="30.6">
      <c r="A55" s="6">
        <v>43442.575972222221</v>
      </c>
      <c r="B55" s="7" t="str">
        <f>HYPERLINK("https://twitter.com/J_ParraG","@J_ParraG")</f>
        <v>@J_ParraG</v>
      </c>
      <c r="C55" s="8" t="s">
        <v>299</v>
      </c>
      <c r="D55" s="9" t="s">
        <v>300</v>
      </c>
      <c r="E55" s="10" t="str">
        <f>HYPERLINK("https://twitter.com/J_ParraG/status/1071386258444820485","1071386258444820485")</f>
        <v>1071386258444820485</v>
      </c>
      <c r="F55" s="11" t="s">
        <v>169</v>
      </c>
      <c r="G55" s="12"/>
      <c r="H55" s="12"/>
      <c r="I55" s="13">
        <v>0</v>
      </c>
      <c r="J55" s="13">
        <v>1</v>
      </c>
      <c r="K55" s="14" t="str">
        <f>HYPERLINK("http://twitter.com/download/android","Twitter for Android")</f>
        <v>Twitter for Android</v>
      </c>
      <c r="L55" s="13">
        <v>384</v>
      </c>
      <c r="M55" s="13">
        <v>972</v>
      </c>
      <c r="N55" s="13">
        <v>14</v>
      </c>
      <c r="O55" s="15"/>
      <c r="P55" s="6">
        <v>40918.953576388885</v>
      </c>
      <c r="Q55" s="16" t="s">
        <v>301</v>
      </c>
      <c r="R55" s="17" t="s">
        <v>302</v>
      </c>
      <c r="S55" s="12"/>
      <c r="T55" s="12"/>
      <c r="U55" s="10" t="str">
        <f>HYPERLINK("https://pbs.twimg.com/profile_images/1048291555134656513/KPn63Fw4.jpg","View")</f>
        <v>View</v>
      </c>
    </row>
    <row r="56" spans="1:21" ht="61.2">
      <c r="A56" s="6">
        <v>43442.57203703704</v>
      </c>
      <c r="B56" s="7" t="str">
        <f>HYPERLINK("https://twitter.com/RafadelaGuerra","@RafadelaGuerra")</f>
        <v>@RafadelaGuerra</v>
      </c>
      <c r="C56" s="8" t="s">
        <v>303</v>
      </c>
      <c r="D56" s="9" t="s">
        <v>304</v>
      </c>
      <c r="E56" s="10" t="str">
        <f>HYPERLINK("https://twitter.com/RafadelaGuerra/status/1071384834092732416","1071384834092732416")</f>
        <v>1071384834092732416</v>
      </c>
      <c r="F56" s="12"/>
      <c r="G56" s="12"/>
      <c r="H56" s="12"/>
      <c r="I56" s="13">
        <v>0</v>
      </c>
      <c r="J56" s="13">
        <v>0</v>
      </c>
      <c r="K56" s="14" t="str">
        <f>HYPERLINK("http://twitter.com/#!/download/ipad","Twitter for iPad")</f>
        <v>Twitter for iPad</v>
      </c>
      <c r="L56" s="13">
        <v>1766</v>
      </c>
      <c r="M56" s="13">
        <v>1477</v>
      </c>
      <c r="N56" s="13">
        <v>19</v>
      </c>
      <c r="O56" s="15"/>
      <c r="P56" s="6">
        <v>42763.082719907412</v>
      </c>
      <c r="Q56" s="16" t="s">
        <v>232</v>
      </c>
      <c r="R56" s="17" t="s">
        <v>305</v>
      </c>
      <c r="S56" s="12"/>
      <c r="T56" s="12"/>
      <c r="U56" s="10" t="str">
        <f>HYPERLINK("https://pbs.twimg.com/profile_images/1035252460372283393/FnaRwPPZ.jpg","View")</f>
        <v>View</v>
      </c>
    </row>
    <row r="57" spans="1:21" ht="30.6">
      <c r="A57" s="6">
        <v>43442.555810185186</v>
      </c>
      <c r="B57" s="7" t="str">
        <f>HYPERLINK("https://twitter.com/Jose_DRY","@Jose_DRY")</f>
        <v>@Jose_DRY</v>
      </c>
      <c r="C57" s="8" t="s">
        <v>306</v>
      </c>
      <c r="D57" s="9" t="s">
        <v>307</v>
      </c>
      <c r="E57" s="10" t="str">
        <f>HYPERLINK("https://twitter.com/Jose_DRY/status/1071378955582754816","1071378955582754816")</f>
        <v>1071378955582754816</v>
      </c>
      <c r="F57" s="11" t="s">
        <v>308</v>
      </c>
      <c r="G57" s="12"/>
      <c r="H57" s="12"/>
      <c r="I57" s="13">
        <v>0</v>
      </c>
      <c r="J57" s="13">
        <v>0</v>
      </c>
      <c r="K57" s="14" t="str">
        <f>HYPERLINK("http://www.facebook.com/twitter","Facebook")</f>
        <v>Facebook</v>
      </c>
      <c r="L57" s="13">
        <v>1279</v>
      </c>
      <c r="M57" s="13">
        <v>1915</v>
      </c>
      <c r="N57" s="13">
        <v>15</v>
      </c>
      <c r="O57" s="15"/>
      <c r="P57" s="6">
        <v>40680.70008101852</v>
      </c>
      <c r="Q57" s="16" t="s">
        <v>309</v>
      </c>
      <c r="R57" s="17" t="s">
        <v>310</v>
      </c>
      <c r="S57" s="11" t="s">
        <v>311</v>
      </c>
      <c r="T57" s="12"/>
      <c r="U57" s="10" t="str">
        <f>HYPERLINK("https://pbs.twimg.com/profile_images/1046169782771470336/IEmSpQTt.jpg","View")</f>
        <v>View</v>
      </c>
    </row>
    <row r="58" spans="1:21" ht="30.6">
      <c r="A58" s="6">
        <v>43442.550254629634</v>
      </c>
      <c r="B58" s="7" t="str">
        <f>HYPERLINK("https://twitter.com/McVay3","@McVay3")</f>
        <v>@McVay3</v>
      </c>
      <c r="C58" s="8" t="s">
        <v>312</v>
      </c>
      <c r="D58" s="9" t="s">
        <v>313</v>
      </c>
      <c r="E58" s="10" t="str">
        <f>HYPERLINK("https://twitter.com/McVay3/status/1071376940274249729","1071376940274249729")</f>
        <v>1071376940274249729</v>
      </c>
      <c r="F58" s="12"/>
      <c r="G58" s="12"/>
      <c r="H58" s="12"/>
      <c r="I58" s="13">
        <v>0</v>
      </c>
      <c r="J58" s="13">
        <v>4</v>
      </c>
      <c r="K58" s="14" t="str">
        <f>HYPERLINK("https://mobile.twitter.com","Twitter Lite")</f>
        <v>Twitter Lite</v>
      </c>
      <c r="L58" s="13">
        <v>7325</v>
      </c>
      <c r="M58" s="13">
        <v>2107</v>
      </c>
      <c r="N58" s="13">
        <v>126</v>
      </c>
      <c r="O58" s="15"/>
      <c r="P58" s="6">
        <v>40700.78361111111</v>
      </c>
      <c r="Q58" s="12"/>
      <c r="R58" s="17" t="s">
        <v>314</v>
      </c>
      <c r="S58" s="12"/>
      <c r="T58" s="12"/>
      <c r="U58" s="10" t="str">
        <f>HYPERLINK("https://pbs.twimg.com/profile_images/563461765665546240/d8gNSidr.jpeg","View")</f>
        <v>View</v>
      </c>
    </row>
    <row r="59" spans="1:21" ht="40.799999999999997">
      <c r="A59" s="6">
        <v>43442.548055555555</v>
      </c>
      <c r="B59" s="7" t="str">
        <f>HYPERLINK("https://twitter.com/laverdad_es","@laverdad_es")</f>
        <v>@laverdad_es</v>
      </c>
      <c r="C59" s="8" t="s">
        <v>41</v>
      </c>
      <c r="D59" s="9" t="s">
        <v>316</v>
      </c>
      <c r="E59" s="10" t="str">
        <f>HYPERLINK("https://twitter.com/laverdad_es/status/1071376142299553792","1071376142299553792")</f>
        <v>1071376142299553792</v>
      </c>
      <c r="F59" s="11" t="s">
        <v>317</v>
      </c>
      <c r="G59" s="12"/>
      <c r="H59" s="12"/>
      <c r="I59" s="13">
        <v>0</v>
      </c>
      <c r="J59" s="13">
        <v>0</v>
      </c>
      <c r="K59" s="14" t="str">
        <f>HYPERLINK("http://twitter.com","Twitter Web Client")</f>
        <v>Twitter Web Client</v>
      </c>
      <c r="L59" s="13">
        <v>163020</v>
      </c>
      <c r="M59" s="13">
        <v>700</v>
      </c>
      <c r="N59" s="13">
        <v>1335</v>
      </c>
      <c r="O59" s="19" t="s">
        <v>44</v>
      </c>
      <c r="P59" s="6">
        <v>39969.670555555553</v>
      </c>
      <c r="Q59" s="16" t="s">
        <v>45</v>
      </c>
      <c r="R59" s="17" t="s">
        <v>46</v>
      </c>
      <c r="S59" s="11" t="s">
        <v>47</v>
      </c>
      <c r="T59" s="12"/>
      <c r="U59" s="10" t="str">
        <f>HYPERLINK("https://pbs.twimg.com/profile_images/875635188700545024/OP4_El2C.jpg","View")</f>
        <v>View</v>
      </c>
    </row>
    <row r="60" spans="1:21" ht="20.399999999999999">
      <c r="A60" s="6">
        <v>43442.547789351855</v>
      </c>
      <c r="B60" s="7" t="str">
        <f>HYPERLINK("https://twitter.com/mcnfnj","@mcnfnj")</f>
        <v>@mcnfnj</v>
      </c>
      <c r="C60" s="8" t="s">
        <v>318</v>
      </c>
      <c r="D60" s="9" t="s">
        <v>319</v>
      </c>
      <c r="E60" s="10" t="str">
        <f>HYPERLINK("https://twitter.com/mcnfnj/status/1071376046744920064","1071376046744920064")</f>
        <v>1071376046744920064</v>
      </c>
      <c r="F60" s="12"/>
      <c r="G60" s="12"/>
      <c r="H60" s="12"/>
      <c r="I60" s="13">
        <v>0</v>
      </c>
      <c r="J60" s="13">
        <v>2</v>
      </c>
      <c r="K60" s="14" t="str">
        <f>HYPERLINK("http://twitter.com/download/android","Twitter for Android")</f>
        <v>Twitter for Android</v>
      </c>
      <c r="L60" s="13">
        <v>107</v>
      </c>
      <c r="M60" s="13">
        <v>454</v>
      </c>
      <c r="N60" s="13">
        <v>0</v>
      </c>
      <c r="O60" s="15"/>
      <c r="P60" s="6">
        <v>43328.622384259259</v>
      </c>
      <c r="Q60" s="16" t="s">
        <v>320</v>
      </c>
      <c r="R60" s="17" t="s">
        <v>321</v>
      </c>
      <c r="S60" s="12"/>
      <c r="T60" s="12"/>
      <c r="U60" s="10" t="str">
        <f>HYPERLINK("https://pbs.twimg.com/profile_images/1030087418219835392/VZXl0ZL4.jpg","View")</f>
        <v>View</v>
      </c>
    </row>
    <row r="61" spans="1:21" ht="20.399999999999999">
      <c r="A61" s="6">
        <v>43442.541203703702</v>
      </c>
      <c r="B61" s="7" t="str">
        <f>HYPERLINK("https://twitter.com/adelacafe93","@adelacafe93")</f>
        <v>@adelacafe93</v>
      </c>
      <c r="C61" s="8" t="s">
        <v>322</v>
      </c>
      <c r="D61" s="9" t="s">
        <v>323</v>
      </c>
      <c r="E61" s="10" t="str">
        <f>HYPERLINK("https://twitter.com/adelacafe93/status/1071373659900657664","1071373659900657664")</f>
        <v>1071373659900657664</v>
      </c>
      <c r="F61" s="11" t="s">
        <v>324</v>
      </c>
      <c r="G61" s="12"/>
      <c r="H61" s="12"/>
      <c r="I61" s="13">
        <v>0</v>
      </c>
      <c r="J61" s="13">
        <v>0</v>
      </c>
      <c r="K61" s="14" t="str">
        <f>HYPERLINK("https://ifttt.com","IFTTT")</f>
        <v>IFTTT</v>
      </c>
      <c r="L61" s="13">
        <v>18</v>
      </c>
      <c r="M61" s="13">
        <v>47</v>
      </c>
      <c r="N61" s="13">
        <v>0</v>
      </c>
      <c r="O61" s="15"/>
      <c r="P61" s="6">
        <v>42761.615034722221</v>
      </c>
      <c r="Q61" s="16" t="s">
        <v>326</v>
      </c>
      <c r="R61" s="17" t="s">
        <v>327</v>
      </c>
      <c r="S61" s="12"/>
      <c r="T61" s="12"/>
      <c r="U61" s="10" t="str">
        <f>HYPERLINK("https://pbs.twimg.com/profile_images/824614694078013444/fkDV_Y0Z.jpg","View")</f>
        <v>View</v>
      </c>
    </row>
    <row r="62" spans="1:21" ht="51">
      <c r="A62" s="6">
        <v>43442.538287037038</v>
      </c>
      <c r="B62" s="7" t="str">
        <f>HYPERLINK("https://twitter.com/juanmalamet","@juanmalamet")</f>
        <v>@juanmalamet</v>
      </c>
      <c r="C62" s="8" t="s">
        <v>329</v>
      </c>
      <c r="D62" s="9" t="s">
        <v>330</v>
      </c>
      <c r="E62" s="10" t="str">
        <f>HYPERLINK("https://twitter.com/juanmalamet/status/1071372602789240832","1071372602789240832")</f>
        <v>1071372602789240832</v>
      </c>
      <c r="F62" s="11" t="s">
        <v>152</v>
      </c>
      <c r="G62" s="12"/>
      <c r="H62" s="12"/>
      <c r="I62" s="13">
        <v>0</v>
      </c>
      <c r="J62" s="13">
        <v>0</v>
      </c>
      <c r="K62" s="14" t="str">
        <f t="shared" ref="K62:K63" si="9">HYPERLINK("http://twitter.com/download/android","Twitter for Android")</f>
        <v>Twitter for Android</v>
      </c>
      <c r="L62" s="13">
        <v>5097</v>
      </c>
      <c r="M62" s="13">
        <v>1758</v>
      </c>
      <c r="N62" s="13">
        <v>151</v>
      </c>
      <c r="O62" s="15"/>
      <c r="P62" s="6">
        <v>40417.810729166667</v>
      </c>
      <c r="Q62" s="16" t="s">
        <v>332</v>
      </c>
      <c r="R62" s="17" t="s">
        <v>333</v>
      </c>
      <c r="S62" s="12"/>
      <c r="T62" s="12"/>
      <c r="U62" s="10" t="str">
        <f>HYPERLINK("https://pbs.twimg.com/profile_images/1038932595508240384/Cdfn4Nk8.jpg","View")</f>
        <v>View</v>
      </c>
    </row>
    <row r="63" spans="1:21" ht="51">
      <c r="A63" s="6">
        <v>43442.535659722227</v>
      </c>
      <c r="B63" s="7" t="str">
        <f>HYPERLINK("https://twitter.com/cyrano_1619","@cyrano_1619")</f>
        <v>@cyrano_1619</v>
      </c>
      <c r="C63" s="8" t="s">
        <v>336</v>
      </c>
      <c r="D63" s="9" t="s">
        <v>337</v>
      </c>
      <c r="E63" s="10" t="str">
        <f>HYPERLINK("https://twitter.com/cyrano_1619/status/1071371651017781248","1071371651017781248")</f>
        <v>1071371651017781248</v>
      </c>
      <c r="F63" s="12"/>
      <c r="G63" s="12"/>
      <c r="H63" s="12"/>
      <c r="I63" s="13">
        <v>0</v>
      </c>
      <c r="J63" s="13">
        <v>2</v>
      </c>
      <c r="K63" s="14" t="str">
        <f t="shared" si="9"/>
        <v>Twitter for Android</v>
      </c>
      <c r="L63" s="13">
        <v>90</v>
      </c>
      <c r="M63" s="13">
        <v>130</v>
      </c>
      <c r="N63" s="13">
        <v>3</v>
      </c>
      <c r="O63" s="15"/>
      <c r="P63" s="6">
        <v>40855.821273148147</v>
      </c>
      <c r="Q63" s="16" t="s">
        <v>338</v>
      </c>
      <c r="R63" s="17" t="s">
        <v>339</v>
      </c>
      <c r="S63" s="12"/>
      <c r="T63" s="12"/>
      <c r="U63" s="10" t="str">
        <f>HYPERLINK("https://pbs.twimg.com/profile_images/1629203257/10.jpg","View")</f>
        <v>View</v>
      </c>
    </row>
    <row r="64" spans="1:21" ht="30.6">
      <c r="A64" s="6">
        <v>43442.534861111111</v>
      </c>
      <c r="B64" s="7" t="str">
        <f>HYPERLINK("https://twitter.com/jofelices","@jofelices")</f>
        <v>@jofelices</v>
      </c>
      <c r="C64" s="8" t="s">
        <v>340</v>
      </c>
      <c r="D64" s="9" t="s">
        <v>341</v>
      </c>
      <c r="E64" s="10" t="str">
        <f>HYPERLINK("https://twitter.com/jofelices/status/1071371360021155841","1071371360021155841")</f>
        <v>1071371360021155841</v>
      </c>
      <c r="F64" s="12"/>
      <c r="G64" s="12"/>
      <c r="H64" s="12"/>
      <c r="I64" s="13">
        <v>0</v>
      </c>
      <c r="J64" s="13">
        <v>0</v>
      </c>
      <c r="K64" s="14" t="str">
        <f>HYPERLINK("http://twitter.com","Twitter Web Client")</f>
        <v>Twitter Web Client</v>
      </c>
      <c r="L64" s="13">
        <v>5404</v>
      </c>
      <c r="M64" s="13">
        <v>4614</v>
      </c>
      <c r="N64" s="13">
        <v>40</v>
      </c>
      <c r="O64" s="15"/>
      <c r="P64" s="6">
        <v>40921.689618055556</v>
      </c>
      <c r="Q64" s="12"/>
      <c r="R64" s="17" t="s">
        <v>342</v>
      </c>
      <c r="S64" s="12"/>
      <c r="T64" s="12"/>
      <c r="U64" s="10" t="str">
        <f>HYPERLINK("https://pbs.twimg.com/profile_images/752932307821006848/C79eevA0.jpg","View")</f>
        <v>View</v>
      </c>
    </row>
    <row r="65" spans="1:21" ht="30.6">
      <c r="A65" s="6">
        <v>43442.533090277779</v>
      </c>
      <c r="B65" s="7" t="str">
        <f>HYPERLINK("https://twitter.com/IraLibertad","@IraLibertad")</f>
        <v>@IraLibertad</v>
      </c>
      <c r="C65" s="8" t="s">
        <v>343</v>
      </c>
      <c r="D65" s="9" t="s">
        <v>344</v>
      </c>
      <c r="E65" s="10" t="str">
        <f>HYPERLINK("https://twitter.com/IraLibertad/status/1071370719748067328","1071370719748067328")</f>
        <v>1071370719748067328</v>
      </c>
      <c r="F65" s="12"/>
      <c r="G65" s="11" t="s">
        <v>346</v>
      </c>
      <c r="H65" s="12"/>
      <c r="I65" s="13">
        <v>0</v>
      </c>
      <c r="J65" s="13">
        <v>0</v>
      </c>
      <c r="K65" s="14" t="str">
        <f>HYPERLINK("http://twitter.com/download/iphone","Twitter for iPhone")</f>
        <v>Twitter for iPhone</v>
      </c>
      <c r="L65" s="13">
        <v>2</v>
      </c>
      <c r="M65" s="13">
        <v>11</v>
      </c>
      <c r="N65" s="13">
        <v>0</v>
      </c>
      <c r="O65" s="15"/>
      <c r="P65" s="6">
        <v>43161.771828703699</v>
      </c>
      <c r="Q65" s="12"/>
      <c r="R65" s="20"/>
      <c r="S65" s="12"/>
      <c r="T65" s="12"/>
      <c r="U65" s="10" t="str">
        <f>HYPERLINK("https://pbs.twimg.com/profile_images/1044153695968137216/6KuPO2YK.jpg","View")</f>
        <v>View</v>
      </c>
    </row>
    <row r="66" spans="1:21" ht="20.399999999999999">
      <c r="A66" s="6">
        <v>43442.5308912037</v>
      </c>
      <c r="B66" s="7" t="str">
        <f>HYPERLINK("https://twitter.com/adelacafe93","@adelacafe93")</f>
        <v>@adelacafe93</v>
      </c>
      <c r="C66" s="8" t="s">
        <v>322</v>
      </c>
      <c r="D66" s="9" t="s">
        <v>323</v>
      </c>
      <c r="E66" s="10" t="str">
        <f>HYPERLINK("https://twitter.com/adelacafe93/status/1071369923052621824","1071369923052621824")</f>
        <v>1071369923052621824</v>
      </c>
      <c r="F66" s="11" t="s">
        <v>350</v>
      </c>
      <c r="G66" s="12"/>
      <c r="H66" s="12"/>
      <c r="I66" s="13">
        <v>0</v>
      </c>
      <c r="J66" s="13">
        <v>0</v>
      </c>
      <c r="K66" s="14" t="str">
        <f t="shared" ref="K66:K67" si="10">HYPERLINK("https://ifttt.com","IFTTT")</f>
        <v>IFTTT</v>
      </c>
      <c r="L66" s="13">
        <v>18</v>
      </c>
      <c r="M66" s="13">
        <v>47</v>
      </c>
      <c r="N66" s="13">
        <v>0</v>
      </c>
      <c r="O66" s="15"/>
      <c r="P66" s="6">
        <v>42761.615034722221</v>
      </c>
      <c r="Q66" s="16" t="s">
        <v>326</v>
      </c>
      <c r="R66" s="17" t="s">
        <v>327</v>
      </c>
      <c r="S66" s="12"/>
      <c r="T66" s="12"/>
      <c r="U66" s="10" t="str">
        <f>HYPERLINK("https://pbs.twimg.com/profile_images/824614694078013444/fkDV_Y0Z.jpg","View")</f>
        <v>View</v>
      </c>
    </row>
    <row r="67" spans="1:21" ht="20.399999999999999">
      <c r="A67" s="6">
        <v>43442.530659722222</v>
      </c>
      <c r="B67" s="7" t="str">
        <f>HYPERLINK("https://twitter.com/titulares24hora","@titulares24hora")</f>
        <v>@titulares24hora</v>
      </c>
      <c r="C67" s="8" t="s">
        <v>352</v>
      </c>
      <c r="D67" s="9" t="s">
        <v>323</v>
      </c>
      <c r="E67" s="10" t="str">
        <f>HYPERLINK("https://twitter.com/titulares24hora/status/1071369838445105152","1071369838445105152")</f>
        <v>1071369838445105152</v>
      </c>
      <c r="F67" s="12"/>
      <c r="G67" s="12"/>
      <c r="H67" s="12"/>
      <c r="I67" s="13">
        <v>0</v>
      </c>
      <c r="J67" s="13">
        <v>0</v>
      </c>
      <c r="K67" s="14" t="str">
        <f t="shared" si="10"/>
        <v>IFTTT</v>
      </c>
      <c r="L67" s="13">
        <v>394</v>
      </c>
      <c r="M67" s="13">
        <v>1462</v>
      </c>
      <c r="N67" s="13">
        <v>2</v>
      </c>
      <c r="O67" s="15"/>
      <c r="P67" s="6">
        <v>42508.446805555555</v>
      </c>
      <c r="Q67" s="12"/>
      <c r="R67" s="17" t="s">
        <v>355</v>
      </c>
      <c r="S67" s="12"/>
      <c r="T67" s="12"/>
      <c r="U67" s="10" t="str">
        <f>HYPERLINK("https://pbs.twimg.com/profile_images/732855169034166272/A8O2LY2J.jpg","View")</f>
        <v>View</v>
      </c>
    </row>
    <row r="68" spans="1:21" ht="30.6">
      <c r="A68" s="6">
        <v>43442.529861111107</v>
      </c>
      <c r="B68" s="7" t="str">
        <f>HYPERLINK("https://twitter.com/ElHuffPost","@ElHuffPost")</f>
        <v>@ElHuffPost</v>
      </c>
      <c r="C68" s="8" t="s">
        <v>106</v>
      </c>
      <c r="D68" s="9" t="s">
        <v>357</v>
      </c>
      <c r="E68" s="10" t="str">
        <f>HYPERLINK("https://twitter.com/ElHuffPost/status/1071369549528948736","1071369549528948736")</f>
        <v>1071369549528948736</v>
      </c>
      <c r="F68" s="11" t="s">
        <v>358</v>
      </c>
      <c r="G68" s="12"/>
      <c r="H68" s="12"/>
      <c r="I68" s="13">
        <v>4</v>
      </c>
      <c r="J68" s="13">
        <v>5</v>
      </c>
      <c r="K68" s="14" t="str">
        <f>HYPERLINK("https://about.twitter.com/products/tweetdeck","TweetDeck")</f>
        <v>TweetDeck</v>
      </c>
      <c r="L68" s="13">
        <v>431182</v>
      </c>
      <c r="M68" s="13">
        <v>1551</v>
      </c>
      <c r="N68" s="13">
        <v>8193</v>
      </c>
      <c r="O68" s="19" t="s">
        <v>44</v>
      </c>
      <c r="P68" s="6">
        <v>40785.027118055557</v>
      </c>
      <c r="Q68" s="16" t="s">
        <v>109</v>
      </c>
      <c r="R68" s="17" t="s">
        <v>110</v>
      </c>
      <c r="S68" s="11" t="s">
        <v>111</v>
      </c>
      <c r="T68" s="12"/>
      <c r="U68" s="10" t="str">
        <f>HYPERLINK("https://pbs.twimg.com/profile_images/921140803422089217/ETOEUOAx.jpg","View")</f>
        <v>View</v>
      </c>
    </row>
    <row r="69" spans="1:21" ht="40.799999999999997">
      <c r="A69" s="6">
        <v>43442.529606481483</v>
      </c>
      <c r="B69" s="7" t="str">
        <f>HYPERLINK("https://twitter.com/ElMundoEspana","@ElMundoEspana")</f>
        <v>@ElMundoEspana</v>
      </c>
      <c r="C69" s="8" t="s">
        <v>360</v>
      </c>
      <c r="D69" s="9" t="s">
        <v>150</v>
      </c>
      <c r="E69" s="10" t="str">
        <f>HYPERLINK("https://twitter.com/ElMundoEspana/status/1071369458139185153","1071369458139185153")</f>
        <v>1071369458139185153</v>
      </c>
      <c r="F69" s="11" t="s">
        <v>152</v>
      </c>
      <c r="G69" s="12"/>
      <c r="H69" s="12"/>
      <c r="I69" s="13">
        <v>9</v>
      </c>
      <c r="J69" s="13">
        <v>13</v>
      </c>
      <c r="K69" s="14" t="str">
        <f>HYPERLINK("http://twitter.com","Twitter Web Client")</f>
        <v>Twitter Web Client</v>
      </c>
      <c r="L69" s="13">
        <v>18045</v>
      </c>
      <c r="M69" s="13">
        <v>652</v>
      </c>
      <c r="N69" s="13">
        <v>353</v>
      </c>
      <c r="O69" s="19" t="s">
        <v>44</v>
      </c>
      <c r="P69" s="6">
        <v>42089.415439814809</v>
      </c>
      <c r="Q69" s="12"/>
      <c r="R69" s="17" t="s">
        <v>362</v>
      </c>
      <c r="S69" s="11" t="s">
        <v>363</v>
      </c>
      <c r="T69" s="12"/>
      <c r="U69" s="10" t="str">
        <f>HYPERLINK("https://pbs.twimg.com/profile_images/780431237555032064/H6v83dkC.jpg","View")</f>
        <v>View</v>
      </c>
    </row>
    <row r="70" spans="1:21" ht="20.399999999999999">
      <c r="A70" s="6">
        <v>43442.52747685185</v>
      </c>
      <c r="B70" s="7" t="str">
        <f>HYPERLINK("https://twitter.com/adelacafe93","@adelacafe93")</f>
        <v>@adelacafe93</v>
      </c>
      <c r="C70" s="8" t="s">
        <v>322</v>
      </c>
      <c r="D70" s="9" t="s">
        <v>150</v>
      </c>
      <c r="E70" s="10" t="str">
        <f>HYPERLINK("https://twitter.com/adelacafe93/status/1071368687691751424","1071368687691751424")</f>
        <v>1071368687691751424</v>
      </c>
      <c r="F70" s="11" t="s">
        <v>365</v>
      </c>
      <c r="G70" s="12"/>
      <c r="H70" s="12"/>
      <c r="I70" s="13">
        <v>0</v>
      </c>
      <c r="J70" s="13">
        <v>0</v>
      </c>
      <c r="K70" s="14" t="str">
        <f t="shared" ref="K70:K71" si="11">HYPERLINK("https://ifttt.com","IFTTT")</f>
        <v>IFTTT</v>
      </c>
      <c r="L70" s="13">
        <v>18</v>
      </c>
      <c r="M70" s="13">
        <v>47</v>
      </c>
      <c r="N70" s="13">
        <v>0</v>
      </c>
      <c r="O70" s="15"/>
      <c r="P70" s="6">
        <v>42761.615034722221</v>
      </c>
      <c r="Q70" s="16" t="s">
        <v>326</v>
      </c>
      <c r="R70" s="17" t="s">
        <v>327</v>
      </c>
      <c r="S70" s="12"/>
      <c r="T70" s="12"/>
      <c r="U70" s="10" t="str">
        <f>HYPERLINK("https://pbs.twimg.com/profile_images/824614694078013444/fkDV_Y0Z.jpg","View")</f>
        <v>View</v>
      </c>
    </row>
    <row r="71" spans="1:21" ht="13.2">
      <c r="A71" s="6">
        <v>43442.527291666665</v>
      </c>
      <c r="B71" s="7" t="str">
        <f>HYPERLINK("https://twitter.com/titulares24hora","@titulares24hora")</f>
        <v>@titulares24hora</v>
      </c>
      <c r="C71" s="8" t="s">
        <v>352</v>
      </c>
      <c r="D71" s="9" t="s">
        <v>150</v>
      </c>
      <c r="E71" s="10" t="str">
        <f>HYPERLINK("https://twitter.com/titulares24hora/status/1071368617776873472","1071368617776873472")</f>
        <v>1071368617776873472</v>
      </c>
      <c r="F71" s="12"/>
      <c r="G71" s="12"/>
      <c r="H71" s="12"/>
      <c r="I71" s="13">
        <v>0</v>
      </c>
      <c r="J71" s="13">
        <v>0</v>
      </c>
      <c r="K71" s="14" t="str">
        <f t="shared" si="11"/>
        <v>IFTTT</v>
      </c>
      <c r="L71" s="13">
        <v>394</v>
      </c>
      <c r="M71" s="13">
        <v>1462</v>
      </c>
      <c r="N71" s="13">
        <v>2</v>
      </c>
      <c r="O71" s="15"/>
      <c r="P71" s="6">
        <v>42508.446805555555</v>
      </c>
      <c r="Q71" s="12"/>
      <c r="R71" s="17" t="s">
        <v>355</v>
      </c>
      <c r="S71" s="12"/>
      <c r="T71" s="12"/>
      <c r="U71" s="10" t="str">
        <f>HYPERLINK("https://pbs.twimg.com/profile_images/732855169034166272/A8O2LY2J.jpg","View")</f>
        <v>View</v>
      </c>
    </row>
    <row r="72" spans="1:21" ht="40.799999999999997">
      <c r="A72" s="6">
        <v>43442.523923611108</v>
      </c>
      <c r="B72" s="7" t="str">
        <f>HYPERLINK("https://twitter.com/jarizabaleta1","@jarizabaleta1")</f>
        <v>@jarizabaleta1</v>
      </c>
      <c r="C72" s="8" t="s">
        <v>368</v>
      </c>
      <c r="D72" s="9" t="s">
        <v>369</v>
      </c>
      <c r="E72" s="10" t="str">
        <f>HYPERLINK("https://twitter.com/jarizabaleta1/status/1071367397628698624","1071367397628698624")</f>
        <v>1071367397628698624</v>
      </c>
      <c r="F72" s="12"/>
      <c r="G72" s="12"/>
      <c r="H72" s="12"/>
      <c r="I72" s="13">
        <v>0</v>
      </c>
      <c r="J72" s="13">
        <v>1</v>
      </c>
      <c r="K72" s="14" t="str">
        <f>HYPERLINK("http://www.facebook.com/twitter","Facebook")</f>
        <v>Facebook</v>
      </c>
      <c r="L72" s="13">
        <v>2994</v>
      </c>
      <c r="M72" s="13">
        <v>143</v>
      </c>
      <c r="N72" s="13">
        <v>14</v>
      </c>
      <c r="O72" s="15"/>
      <c r="P72" s="6">
        <v>41236.140173611115</v>
      </c>
      <c r="Q72" s="16" t="s">
        <v>371</v>
      </c>
      <c r="R72" s="17" t="s">
        <v>372</v>
      </c>
      <c r="S72" s="11" t="s">
        <v>373</v>
      </c>
      <c r="T72" s="12"/>
      <c r="U72" s="10" t="str">
        <f>HYPERLINK("https://pbs.twimg.com/profile_images/1069886204705947649/sREkKppa.jpg","View")</f>
        <v>View</v>
      </c>
    </row>
    <row r="73" spans="1:21" ht="40.799999999999997">
      <c r="A73" s="6">
        <v>43442.523530092592</v>
      </c>
      <c r="B73" s="7" t="str">
        <f>HYPERLINK("https://twitter.com/GeorgeKplan","@GeorgeKplan")</f>
        <v>@GeorgeKplan</v>
      </c>
      <c r="C73" s="8" t="s">
        <v>374</v>
      </c>
      <c r="D73" s="9" t="s">
        <v>375</v>
      </c>
      <c r="E73" s="10" t="str">
        <f>HYPERLINK("https://twitter.com/GeorgeKplan/status/1071367254179282944","1071367254179282944")</f>
        <v>1071367254179282944</v>
      </c>
      <c r="F73" s="12"/>
      <c r="G73" s="12"/>
      <c r="H73" s="12"/>
      <c r="I73" s="13">
        <v>1</v>
      </c>
      <c r="J73" s="13">
        <v>6</v>
      </c>
      <c r="K73" s="14" t="str">
        <f t="shared" ref="K73:K74" si="12">HYPERLINK("http://twitter.com/download/iphone","Twitter for iPhone")</f>
        <v>Twitter for iPhone</v>
      </c>
      <c r="L73" s="13">
        <v>7185</v>
      </c>
      <c r="M73" s="13">
        <v>964</v>
      </c>
      <c r="N73" s="13">
        <v>97</v>
      </c>
      <c r="O73" s="15"/>
      <c r="P73" s="6">
        <v>41709.981631944444</v>
      </c>
      <c r="Q73" s="16" t="s">
        <v>376</v>
      </c>
      <c r="R73" s="17" t="s">
        <v>377</v>
      </c>
      <c r="S73" s="12"/>
      <c r="T73" s="12"/>
      <c r="U73" s="10" t="str">
        <f>HYPERLINK("https://pbs.twimg.com/profile_images/932479170134921218/xnLAMj8h.jpg","View")</f>
        <v>View</v>
      </c>
    </row>
    <row r="74" spans="1:21" ht="40.799999999999997">
      <c r="A74" s="6">
        <v>43442.519780092596</v>
      </c>
      <c r="B74" s="7" t="str">
        <f>HYPERLINK("https://twitter.com/scrats_regantes","@scrats_regantes")</f>
        <v>@scrats_regantes</v>
      </c>
      <c r="C74" s="8" t="s">
        <v>379</v>
      </c>
      <c r="D74" s="9" t="s">
        <v>380</v>
      </c>
      <c r="E74" s="10" t="str">
        <f>HYPERLINK("https://twitter.com/scrats_regantes/status/1071365895719673856","1071365895719673856")</f>
        <v>1071365895719673856</v>
      </c>
      <c r="F74" s="12"/>
      <c r="G74" s="11" t="s">
        <v>381</v>
      </c>
      <c r="H74" s="12"/>
      <c r="I74" s="13">
        <v>16</v>
      </c>
      <c r="J74" s="13">
        <v>16</v>
      </c>
      <c r="K74" s="14" t="str">
        <f t="shared" si="12"/>
        <v>Twitter for iPhone</v>
      </c>
      <c r="L74" s="13">
        <v>2331</v>
      </c>
      <c r="M74" s="13">
        <v>2056</v>
      </c>
      <c r="N74" s="13">
        <v>41</v>
      </c>
      <c r="O74" s="15"/>
      <c r="P74" s="6">
        <v>41192.820393518516</v>
      </c>
      <c r="Q74" s="16" t="s">
        <v>383</v>
      </c>
      <c r="R74" s="17" t="s">
        <v>384</v>
      </c>
      <c r="S74" s="11" t="s">
        <v>385</v>
      </c>
      <c r="T74" s="12"/>
      <c r="U74" s="10" t="str">
        <f>HYPERLINK("https://pbs.twimg.com/profile_images/450525701569933312/ic6s1SQE.jpeg","View")</f>
        <v>View</v>
      </c>
    </row>
    <row r="75" spans="1:21" ht="40.799999999999997">
      <c r="A75" s="6">
        <v>43442.518611111111</v>
      </c>
      <c r="B75" s="7" t="str">
        <f>HYPERLINK("https://twitter.com/expresionet","@expresionet")</f>
        <v>@expresionet</v>
      </c>
      <c r="C75" s="8" t="s">
        <v>386</v>
      </c>
      <c r="D75" s="9" t="s">
        <v>387</v>
      </c>
      <c r="E75" s="10" t="str">
        <f>HYPERLINK("https://twitter.com/expresionet/status/1071365475307786241","1071365475307786241")</f>
        <v>1071365475307786241</v>
      </c>
      <c r="F75" s="12"/>
      <c r="G75" s="11" t="s">
        <v>388</v>
      </c>
      <c r="H75" s="12"/>
      <c r="I75" s="13">
        <v>0</v>
      </c>
      <c r="J75" s="13">
        <v>0</v>
      </c>
      <c r="K75" s="14" t="str">
        <f>HYPERLINK("http://twitter.com","Twitter Web Client")</f>
        <v>Twitter Web Client</v>
      </c>
      <c r="L75" s="13">
        <v>165</v>
      </c>
      <c r="M75" s="13">
        <v>402</v>
      </c>
      <c r="N75" s="13">
        <v>1</v>
      </c>
      <c r="O75" s="15"/>
      <c r="P75" s="6">
        <v>42819.827465277776</v>
      </c>
      <c r="Q75" s="16" t="s">
        <v>389</v>
      </c>
      <c r="R75" s="17" t="s">
        <v>390</v>
      </c>
      <c r="S75" s="12"/>
      <c r="T75" s="12"/>
      <c r="U75" s="10" t="str">
        <f>HYPERLINK("https://pbs.twimg.com/profile_images/850050276350447616/TlK7HFoQ.jpg","View")</f>
        <v>View</v>
      </c>
    </row>
    <row r="76" spans="1:21" ht="30.6">
      <c r="A76" s="6">
        <v>43442.513344907406</v>
      </c>
      <c r="B76" s="7" t="str">
        <f>HYPERLINK("https://twitter.com/rawmanoff","@rawmanoff")</f>
        <v>@rawmanoff</v>
      </c>
      <c r="C76" s="8" t="s">
        <v>392</v>
      </c>
      <c r="D76" s="9" t="s">
        <v>393</v>
      </c>
      <c r="E76" s="10" t="str">
        <f>HYPERLINK("https://twitter.com/rawmanoff/status/1071363566299688961","1071363566299688961")</f>
        <v>1071363566299688961</v>
      </c>
      <c r="F76" s="12"/>
      <c r="G76" s="12"/>
      <c r="H76" s="12"/>
      <c r="I76" s="13">
        <v>0</v>
      </c>
      <c r="J76" s="13">
        <v>0</v>
      </c>
      <c r="K76" s="14" t="str">
        <f>HYPERLINK("http://twitter.com/download/android","Twitter for Android")</f>
        <v>Twitter for Android</v>
      </c>
      <c r="L76" s="13">
        <v>214</v>
      </c>
      <c r="M76" s="13">
        <v>272</v>
      </c>
      <c r="N76" s="13">
        <v>2</v>
      </c>
      <c r="O76" s="15"/>
      <c r="P76" s="6">
        <v>41882.975590277776</v>
      </c>
      <c r="Q76" s="16" t="s">
        <v>396</v>
      </c>
      <c r="R76" s="17" t="s">
        <v>397</v>
      </c>
      <c r="S76" s="11" t="s">
        <v>398</v>
      </c>
      <c r="T76" s="12"/>
      <c r="U76" s="10" t="str">
        <f>HYPERLINK("https://pbs.twimg.com/profile_images/1071081184518643712/X_mIO94j.jpg","View")</f>
        <v>View</v>
      </c>
    </row>
    <row r="77" spans="1:21" ht="30.6">
      <c r="A77" s="6">
        <v>43442.507384259261</v>
      </c>
      <c r="B77" s="7" t="str">
        <f>HYPERLINK("https://twitter.com/jcarloslh","@jcarloslh")</f>
        <v>@jcarloslh</v>
      </c>
      <c r="C77" s="8" t="s">
        <v>399</v>
      </c>
      <c r="D77" s="9" t="s">
        <v>400</v>
      </c>
      <c r="E77" s="10" t="str">
        <f>HYPERLINK("https://twitter.com/jcarloslh/status/1071361404765171713","1071361404765171713")</f>
        <v>1071361404765171713</v>
      </c>
      <c r="F77" s="11" t="s">
        <v>401</v>
      </c>
      <c r="G77" s="12"/>
      <c r="H77" s="12"/>
      <c r="I77" s="13">
        <v>0</v>
      </c>
      <c r="J77" s="13">
        <v>0</v>
      </c>
      <c r="K77" s="14" t="str">
        <f>HYPERLINK("http://www.facebook.com/twitter","Facebook")</f>
        <v>Facebook</v>
      </c>
      <c r="L77" s="13">
        <v>186</v>
      </c>
      <c r="M77" s="13">
        <v>190</v>
      </c>
      <c r="N77" s="13">
        <v>9</v>
      </c>
      <c r="O77" s="15"/>
      <c r="P77" s="6">
        <v>40433.91541666667</v>
      </c>
      <c r="Q77" s="16" t="s">
        <v>48</v>
      </c>
      <c r="R77" s="20"/>
      <c r="S77" s="12"/>
      <c r="T77" s="12"/>
      <c r="U77" s="10" t="str">
        <f>HYPERLINK("https://pbs.twimg.com/profile_images/3399813895/ffa75fdcb08baf5251d475f9fca4c818.jpeg","View")</f>
        <v>View</v>
      </c>
    </row>
    <row r="78" spans="1:21" ht="30.6">
      <c r="A78" s="6">
        <v>43442.505844907406</v>
      </c>
      <c r="B78" s="7" t="str">
        <f>HYPERLINK("https://twitter.com/lusucu1976","@lusucu1976")</f>
        <v>@lusucu1976</v>
      </c>
      <c r="C78" s="8" t="s">
        <v>402</v>
      </c>
      <c r="D78" s="9" t="s">
        <v>403</v>
      </c>
      <c r="E78" s="10" t="str">
        <f>HYPERLINK("https://twitter.com/lusucu1976/status/1071360848600424450","1071360848600424450")</f>
        <v>1071360848600424450</v>
      </c>
      <c r="F78" s="11" t="s">
        <v>405</v>
      </c>
      <c r="G78" s="11" t="s">
        <v>406</v>
      </c>
      <c r="H78" s="12"/>
      <c r="I78" s="13">
        <v>1</v>
      </c>
      <c r="J78" s="13">
        <v>0</v>
      </c>
      <c r="K78" s="14" t="str">
        <f>HYPERLINK("http://twitter.com/download/android","Twitter for Android")</f>
        <v>Twitter for Android</v>
      </c>
      <c r="L78" s="13">
        <v>767</v>
      </c>
      <c r="M78" s="13">
        <v>611</v>
      </c>
      <c r="N78" s="13">
        <v>11</v>
      </c>
      <c r="O78" s="15"/>
      <c r="P78" s="6">
        <v>41813.531782407408</v>
      </c>
      <c r="Q78" s="16" t="s">
        <v>409</v>
      </c>
      <c r="R78" s="17" t="s">
        <v>410</v>
      </c>
      <c r="S78" s="11" t="s">
        <v>411</v>
      </c>
      <c r="T78" s="12"/>
      <c r="U78" s="10" t="str">
        <f>HYPERLINK("https://pbs.twimg.com/profile_images/1009104209009143809/EgXM1-3v.jpg","View")</f>
        <v>View</v>
      </c>
    </row>
    <row r="79" spans="1:21" ht="30.6">
      <c r="A79" s="6">
        <v>43442.50445601852</v>
      </c>
      <c r="B79" s="7" t="str">
        <f>HYPERLINK("https://twitter.com/jcarloslh","@jcarloslh")</f>
        <v>@jcarloslh</v>
      </c>
      <c r="C79" s="8" t="s">
        <v>399</v>
      </c>
      <c r="D79" s="9" t="s">
        <v>412</v>
      </c>
      <c r="E79" s="10" t="str">
        <f>HYPERLINK("https://twitter.com/jcarloslh/status/1071360342356357121","1071360342356357121")</f>
        <v>1071360342356357121</v>
      </c>
      <c r="F79" s="11" t="s">
        <v>413</v>
      </c>
      <c r="G79" s="12"/>
      <c r="H79" s="12"/>
      <c r="I79" s="13">
        <v>0</v>
      </c>
      <c r="J79" s="13">
        <v>0</v>
      </c>
      <c r="K79" s="14" t="str">
        <f>HYPERLINK("http://www.facebook.com/twitter","Facebook")</f>
        <v>Facebook</v>
      </c>
      <c r="L79" s="13">
        <v>186</v>
      </c>
      <c r="M79" s="13">
        <v>190</v>
      </c>
      <c r="N79" s="13">
        <v>9</v>
      </c>
      <c r="O79" s="15"/>
      <c r="P79" s="6">
        <v>40433.91541666667</v>
      </c>
      <c r="Q79" s="16" t="s">
        <v>48</v>
      </c>
      <c r="R79" s="20"/>
      <c r="S79" s="12"/>
      <c r="T79" s="12"/>
      <c r="U79" s="10" t="str">
        <f>HYPERLINK("https://pbs.twimg.com/profile_images/3399813895/ffa75fdcb08baf5251d475f9fca4c818.jpeg","View")</f>
        <v>View</v>
      </c>
    </row>
    <row r="80" spans="1:21" ht="51">
      <c r="A80" s="6">
        <v>43442.498796296291</v>
      </c>
      <c r="B80" s="7" t="str">
        <f>HYPERLINK("https://twitter.com/LuisJavierSanj2","@LuisJavierSanj2")</f>
        <v>@LuisJavierSanj2</v>
      </c>
      <c r="C80" s="8" t="s">
        <v>414</v>
      </c>
      <c r="D80" s="9" t="s">
        <v>415</v>
      </c>
      <c r="E80" s="10" t="str">
        <f>HYPERLINK("https://twitter.com/LuisJavierSanj2/status/1071358293124243458","1071358293124243458")</f>
        <v>1071358293124243458</v>
      </c>
      <c r="F80" s="11" t="s">
        <v>127</v>
      </c>
      <c r="G80" s="12"/>
      <c r="H80" s="12"/>
      <c r="I80" s="13">
        <v>0</v>
      </c>
      <c r="J80" s="13">
        <v>0</v>
      </c>
      <c r="K80" s="14" t="str">
        <f>HYPERLINK("http://twitter.com/download/android","Twitter for Android")</f>
        <v>Twitter for Android</v>
      </c>
      <c r="L80" s="13">
        <v>806</v>
      </c>
      <c r="M80" s="13">
        <v>1244</v>
      </c>
      <c r="N80" s="13">
        <v>1</v>
      </c>
      <c r="O80" s="15"/>
      <c r="P80" s="6">
        <v>43017.871759259258</v>
      </c>
      <c r="Q80" s="12"/>
      <c r="R80" s="17" t="s">
        <v>416</v>
      </c>
      <c r="S80" s="12"/>
      <c r="T80" s="12"/>
      <c r="U80" s="10" t="str">
        <f>HYPERLINK("https://pbs.twimg.com/profile_images/983037090681245696/C-KQIcbF.jpg","View")</f>
        <v>View</v>
      </c>
    </row>
    <row r="81" spans="1:21" ht="51">
      <c r="A81" s="6">
        <v>43442.492141203707</v>
      </c>
      <c r="B81" s="7" t="str">
        <f>HYPERLINK("https://twitter.com/Paquita_R","@Paquita_R")</f>
        <v>@Paquita_R</v>
      </c>
      <c r="C81" s="8" t="s">
        <v>417</v>
      </c>
      <c r="D81" s="9" t="s">
        <v>418</v>
      </c>
      <c r="E81" s="10" t="str">
        <f>HYPERLINK("https://twitter.com/Paquita_R/status/1071355880120205312","1071355880120205312")</f>
        <v>1071355880120205312</v>
      </c>
      <c r="F81" s="16" t="s">
        <v>419</v>
      </c>
      <c r="G81" s="12"/>
      <c r="H81" s="12"/>
      <c r="I81" s="13">
        <v>0</v>
      </c>
      <c r="J81" s="13">
        <v>1</v>
      </c>
      <c r="K81" s="14" t="str">
        <f>HYPERLINK("http://twitter.com","Twitter Web Client")</f>
        <v>Twitter Web Client</v>
      </c>
      <c r="L81" s="13">
        <v>83</v>
      </c>
      <c r="M81" s="13">
        <v>369</v>
      </c>
      <c r="N81" s="13">
        <v>1</v>
      </c>
      <c r="O81" s="15"/>
      <c r="P81" s="6">
        <v>40174.983449074076</v>
      </c>
      <c r="Q81" s="16" t="s">
        <v>191</v>
      </c>
      <c r="R81" s="20"/>
      <c r="S81" s="12"/>
      <c r="T81" s="12"/>
      <c r="U81" s="10" t="str">
        <f>HYPERLINK("https://pbs.twimg.com/profile_images/1067916239484436480/NAudR-HG.jpg","View")</f>
        <v>View</v>
      </c>
    </row>
    <row r="82" spans="1:21" ht="20.399999999999999">
      <c r="A82" s="6">
        <v>43442.491655092592</v>
      </c>
      <c r="B82" s="7" t="str">
        <f>HYPERLINK("https://twitter.com/SketchBlog","@SketchBlog")</f>
        <v>@SketchBlog</v>
      </c>
      <c r="C82" s="8" t="s">
        <v>420</v>
      </c>
      <c r="D82" s="9" t="s">
        <v>421</v>
      </c>
      <c r="E82" s="10" t="str">
        <f>HYPERLINK("https://twitter.com/SketchBlog/status/1071355703376404481","1071355703376404481")</f>
        <v>1071355703376404481</v>
      </c>
      <c r="F82" s="11" t="s">
        <v>422</v>
      </c>
      <c r="G82" s="12"/>
      <c r="H82" s="12"/>
      <c r="I82" s="13">
        <v>0</v>
      </c>
      <c r="J82" s="13">
        <v>0</v>
      </c>
      <c r="K82" s="14" t="str">
        <f>HYPERLINK("http://twitter.com/download/android","Twitter for Android")</f>
        <v>Twitter for Android</v>
      </c>
      <c r="L82" s="13">
        <v>657</v>
      </c>
      <c r="M82" s="13">
        <v>1231</v>
      </c>
      <c r="N82" s="13">
        <v>23</v>
      </c>
      <c r="O82" s="15"/>
      <c r="P82" s="6">
        <v>39904.678518518514</v>
      </c>
      <c r="Q82" s="16" t="s">
        <v>86</v>
      </c>
      <c r="R82" s="17" t="s">
        <v>423</v>
      </c>
      <c r="S82" s="11" t="s">
        <v>424</v>
      </c>
      <c r="T82" s="12"/>
      <c r="U82" s="10" t="str">
        <f>HYPERLINK("https://pbs.twimg.com/profile_images/950830617905770497/njLq8AUT.jpg","View")</f>
        <v>View</v>
      </c>
    </row>
    <row r="83" spans="1:21" ht="40.799999999999997">
      <c r="A83" s="6">
        <v>43442.490324074075</v>
      </c>
      <c r="B83" s="7" t="str">
        <f>HYPERLINK("https://twitter.com/J_Sanchez_Serna","@J_Sanchez_Serna")</f>
        <v>@J_Sanchez_Serna</v>
      </c>
      <c r="C83" s="8" t="s">
        <v>425</v>
      </c>
      <c r="D83" s="9" t="s">
        <v>426</v>
      </c>
      <c r="E83" s="10" t="str">
        <f>HYPERLINK("https://twitter.com/J_Sanchez_Serna/status/1071355223212470272","1071355223212470272")</f>
        <v>1071355223212470272</v>
      </c>
      <c r="F83" s="11" t="s">
        <v>427</v>
      </c>
      <c r="G83" s="12"/>
      <c r="H83" s="12"/>
      <c r="I83" s="13">
        <v>6</v>
      </c>
      <c r="J83" s="13">
        <v>16</v>
      </c>
      <c r="K83" s="14" t="str">
        <f>HYPERLINK("http://twitter.com/download/iphone","Twitter for iPhone")</f>
        <v>Twitter for iPhone</v>
      </c>
      <c r="L83" s="13">
        <v>6537</v>
      </c>
      <c r="M83" s="13">
        <v>1561</v>
      </c>
      <c r="N83" s="13">
        <v>127</v>
      </c>
      <c r="O83" s="19" t="s">
        <v>44</v>
      </c>
      <c r="P83" s="6">
        <v>40681.801770833335</v>
      </c>
      <c r="Q83" s="16" t="s">
        <v>180</v>
      </c>
      <c r="R83" s="17" t="s">
        <v>428</v>
      </c>
      <c r="S83" s="11" t="s">
        <v>429</v>
      </c>
      <c r="T83" s="12"/>
      <c r="U83" s="10" t="str">
        <f>HYPERLINK("https://pbs.twimg.com/profile_images/881842419209252866/VTJv2TK4.jpg","View")</f>
        <v>View</v>
      </c>
    </row>
    <row r="84" spans="1:21" ht="51">
      <c r="A84" s="6">
        <v>43442.48846064815</v>
      </c>
      <c r="B84" s="7" t="str">
        <f>HYPERLINK("https://twitter.com/con_Niche","@con_Niche")</f>
        <v>@con_Niche</v>
      </c>
      <c r="C84" s="8" t="s">
        <v>430</v>
      </c>
      <c r="D84" s="9" t="s">
        <v>431</v>
      </c>
      <c r="E84" s="10" t="str">
        <f>HYPERLINK("https://twitter.com/con_Niche/status/1071354545807220736","1071354545807220736")</f>
        <v>1071354545807220736</v>
      </c>
      <c r="F84" s="11" t="s">
        <v>432</v>
      </c>
      <c r="G84" s="12"/>
      <c r="H84" s="12"/>
      <c r="I84" s="13">
        <v>0</v>
      </c>
      <c r="J84" s="13">
        <v>0</v>
      </c>
      <c r="K84" s="14" t="str">
        <f t="shared" ref="K84:K86" si="13">HYPERLINK("http://twitter.com/download/android","Twitter for Android")</f>
        <v>Twitter for Android</v>
      </c>
      <c r="L84" s="13">
        <v>127</v>
      </c>
      <c r="M84" s="13">
        <v>428</v>
      </c>
      <c r="N84" s="13">
        <v>0</v>
      </c>
      <c r="O84" s="15"/>
      <c r="P84" s="6">
        <v>43160.830254629633</v>
      </c>
      <c r="Q84" s="16" t="s">
        <v>433</v>
      </c>
      <c r="R84" s="17" t="s">
        <v>434</v>
      </c>
      <c r="S84" s="12"/>
      <c r="T84" s="12"/>
      <c r="U84" s="10" t="str">
        <f>HYPERLINK("https://pbs.twimg.com/profile_images/997810774419673089/r0prT9cv.jpg","View")</f>
        <v>View</v>
      </c>
    </row>
    <row r="85" spans="1:21" ht="51">
      <c r="A85" s="6">
        <v>43442.471319444448</v>
      </c>
      <c r="B85" s="7" t="str">
        <f>HYPERLINK("https://twitter.com/Samurob11","@Samurob11")</f>
        <v>@Samurob11</v>
      </c>
      <c r="C85" s="8" t="s">
        <v>435</v>
      </c>
      <c r="D85" s="9" t="s">
        <v>436</v>
      </c>
      <c r="E85" s="10" t="str">
        <f>HYPERLINK("https://twitter.com/Samurob11/status/1071348335112544256","1071348335112544256")</f>
        <v>1071348335112544256</v>
      </c>
      <c r="F85" s="12"/>
      <c r="G85" s="12"/>
      <c r="H85" s="12"/>
      <c r="I85" s="13">
        <v>0</v>
      </c>
      <c r="J85" s="13">
        <v>0</v>
      </c>
      <c r="K85" s="14" t="str">
        <f t="shared" si="13"/>
        <v>Twitter for Android</v>
      </c>
      <c r="L85" s="13">
        <v>16</v>
      </c>
      <c r="M85" s="13">
        <v>116</v>
      </c>
      <c r="N85" s="13">
        <v>0</v>
      </c>
      <c r="O85" s="15"/>
      <c r="P85" s="6">
        <v>43007.836076388892</v>
      </c>
      <c r="Q85" s="12"/>
      <c r="R85" s="20"/>
      <c r="S85" s="12"/>
      <c r="T85" s="12"/>
      <c r="U85" s="19" t="s">
        <v>359</v>
      </c>
    </row>
    <row r="86" spans="1:21" ht="81.599999999999994">
      <c r="A86" s="6">
        <v>43442.469189814816</v>
      </c>
      <c r="B86" s="7" t="str">
        <f>HYPERLINK("https://twitter.com/robergonpane","@robergonpane")</f>
        <v>@robergonpane</v>
      </c>
      <c r="C86" s="8" t="s">
        <v>437</v>
      </c>
      <c r="D86" s="9" t="s">
        <v>438</v>
      </c>
      <c r="E86" s="10" t="str">
        <f>HYPERLINK("https://twitter.com/robergonpane/status/1071347563499057153","1071347563499057153")</f>
        <v>1071347563499057153</v>
      </c>
      <c r="F86" s="16" t="s">
        <v>439</v>
      </c>
      <c r="G86" s="11" t="s">
        <v>440</v>
      </c>
      <c r="H86" s="12"/>
      <c r="I86" s="13">
        <v>1</v>
      </c>
      <c r="J86" s="13">
        <v>1</v>
      </c>
      <c r="K86" s="14" t="str">
        <f t="shared" si="13"/>
        <v>Twitter for Android</v>
      </c>
      <c r="L86" s="13">
        <v>193</v>
      </c>
      <c r="M86" s="13">
        <v>140</v>
      </c>
      <c r="N86" s="13">
        <v>10</v>
      </c>
      <c r="O86" s="15"/>
      <c r="P86" s="6">
        <v>41011.732916666668</v>
      </c>
      <c r="Q86" s="16" t="s">
        <v>191</v>
      </c>
      <c r="R86" s="17" t="s">
        <v>441</v>
      </c>
      <c r="S86" s="11" t="s">
        <v>442</v>
      </c>
      <c r="T86" s="12"/>
      <c r="U86" s="10" t="str">
        <f>HYPERLINK("https://pbs.twimg.com/profile_images/950160409167892480/V3-PzLsm.jpg","View")</f>
        <v>View</v>
      </c>
    </row>
    <row r="87" spans="1:21" ht="40.799999999999997">
      <c r="A87" s="6">
        <v>43442.458622685182</v>
      </c>
      <c r="B87" s="7" t="str">
        <f>HYPERLINK("https://twitter.com/nortecastilla","@nortecastilla")</f>
        <v>@nortecastilla</v>
      </c>
      <c r="C87" s="21" t="s">
        <v>443</v>
      </c>
      <c r="D87" s="9" t="s">
        <v>444</v>
      </c>
      <c r="E87" s="10" t="str">
        <f>HYPERLINK("https://twitter.com/nortecastilla/status/1071343734728605702","1071343734728605702")</f>
        <v>1071343734728605702</v>
      </c>
      <c r="F87" s="11" t="s">
        <v>445</v>
      </c>
      <c r="G87" s="12"/>
      <c r="H87" s="12"/>
      <c r="I87" s="13">
        <v>2</v>
      </c>
      <c r="J87" s="13">
        <v>1</v>
      </c>
      <c r="K87" s="14" t="str">
        <f>HYPERLINK("https://www.hootsuite.com","Hootsuite Inc.")</f>
        <v>Hootsuite Inc.</v>
      </c>
      <c r="L87" s="13">
        <v>129448</v>
      </c>
      <c r="M87" s="13">
        <v>137</v>
      </c>
      <c r="N87" s="13">
        <v>1361</v>
      </c>
      <c r="O87" s="19" t="s">
        <v>44</v>
      </c>
      <c r="P87" s="6">
        <v>39972.553414351853</v>
      </c>
      <c r="Q87" s="16" t="s">
        <v>48</v>
      </c>
      <c r="R87" s="17" t="s">
        <v>446</v>
      </c>
      <c r="S87" s="11" t="s">
        <v>447</v>
      </c>
      <c r="T87" s="12"/>
      <c r="U87" s="10" t="str">
        <f>HYPERLINK("https://pbs.twimg.com/profile_images/875648311646011395/P7n6xnhT.jpg","View")</f>
        <v>View</v>
      </c>
    </row>
    <row r="88" spans="1:21" ht="20.399999999999999">
      <c r="A88" s="6">
        <v>43442.45585648148</v>
      </c>
      <c r="B88" s="7" t="str">
        <f>HYPERLINK("https://twitter.com/voltetas","@voltetas")</f>
        <v>@voltetas</v>
      </c>
      <c r="C88" s="8" t="s">
        <v>448</v>
      </c>
      <c r="D88" s="9" t="s">
        <v>273</v>
      </c>
      <c r="E88" s="10" t="str">
        <f>HYPERLINK("https://twitter.com/voltetas/status/1071342729915981824","1071342729915981824")</f>
        <v>1071342729915981824</v>
      </c>
      <c r="F88" s="11" t="s">
        <v>144</v>
      </c>
      <c r="G88" s="12"/>
      <c r="H88" s="12"/>
      <c r="I88" s="13">
        <v>0</v>
      </c>
      <c r="J88" s="13">
        <v>0</v>
      </c>
      <c r="K88" s="14" t="str">
        <f>HYPERLINK("http://www.facebook.com/twitter","Facebook")</f>
        <v>Facebook</v>
      </c>
      <c r="L88" s="13">
        <v>48</v>
      </c>
      <c r="M88" s="13">
        <v>115</v>
      </c>
      <c r="N88" s="13">
        <v>1</v>
      </c>
      <c r="O88" s="15"/>
      <c r="P88" s="6">
        <v>41090.520231481481</v>
      </c>
      <c r="Q88" s="12"/>
      <c r="R88" s="20"/>
      <c r="S88" s="12"/>
      <c r="T88" s="12"/>
      <c r="U88" s="10" t="str">
        <f>HYPERLINK("https://pbs.twimg.com/profile_images/2354587077/Bandera_II_Rep_blica-PSC.gif","View")</f>
        <v>View</v>
      </c>
    </row>
    <row r="89" spans="1:21" ht="13.2">
      <c r="A89" s="6">
        <v>43442.451053240744</v>
      </c>
      <c r="B89" s="7" t="str">
        <f>HYPERLINK("https://twitter.com/rua_jon","@rua_jon")</f>
        <v>@rua_jon</v>
      </c>
      <c r="C89" s="8" t="s">
        <v>449</v>
      </c>
      <c r="D89" s="9" t="s">
        <v>450</v>
      </c>
      <c r="E89" s="10" t="str">
        <f>HYPERLINK("https://twitter.com/rua_jon/status/1071340992702361600","1071340992702361600")</f>
        <v>1071340992702361600</v>
      </c>
      <c r="F89" s="12"/>
      <c r="G89" s="11" t="s">
        <v>451</v>
      </c>
      <c r="H89" s="12"/>
      <c r="I89" s="13">
        <v>0</v>
      </c>
      <c r="J89" s="13">
        <v>1</v>
      </c>
      <c r="K89" s="14" t="str">
        <f t="shared" ref="K89:K92" si="14">HYPERLINK("http://twitter.com/download/android","Twitter for Android")</f>
        <v>Twitter for Android</v>
      </c>
      <c r="L89" s="13">
        <v>57</v>
      </c>
      <c r="M89" s="13">
        <v>142</v>
      </c>
      <c r="N89" s="13">
        <v>0</v>
      </c>
      <c r="O89" s="15"/>
      <c r="P89" s="6">
        <v>43336.767696759256</v>
      </c>
      <c r="Q89" s="16" t="s">
        <v>452</v>
      </c>
      <c r="R89" s="17" t="s">
        <v>453</v>
      </c>
      <c r="S89" s="12"/>
      <c r="T89" s="12"/>
      <c r="U89" s="10" t="str">
        <f>HYPERLINK("https://pbs.twimg.com/profile_images/1055529679115993088/ye5fTTnx.jpg","View")</f>
        <v>View</v>
      </c>
    </row>
    <row r="90" spans="1:21" ht="20.399999999999999">
      <c r="A90" s="6">
        <v>43442.447708333333</v>
      </c>
      <c r="B90" s="7" t="str">
        <f>HYPERLINK("https://twitter.com/albajoa","@albajoa")</f>
        <v>@albajoa</v>
      </c>
      <c r="C90" s="8" t="s">
        <v>454</v>
      </c>
      <c r="D90" s="9" t="s">
        <v>455</v>
      </c>
      <c r="E90" s="10" t="str">
        <f>HYPERLINK("https://twitter.com/albajoa/status/1071339780691148800","1071339780691148800")</f>
        <v>1071339780691148800</v>
      </c>
      <c r="F90" s="11" t="s">
        <v>127</v>
      </c>
      <c r="G90" s="12"/>
      <c r="H90" s="12"/>
      <c r="I90" s="13">
        <v>0</v>
      </c>
      <c r="J90" s="13">
        <v>0</v>
      </c>
      <c r="K90" s="14" t="str">
        <f t="shared" si="14"/>
        <v>Twitter for Android</v>
      </c>
      <c r="L90" s="13">
        <v>611</v>
      </c>
      <c r="M90" s="13">
        <v>1091</v>
      </c>
      <c r="N90" s="13">
        <v>29</v>
      </c>
      <c r="O90" s="15"/>
      <c r="P90" s="6">
        <v>41639.88925925926</v>
      </c>
      <c r="Q90" s="12"/>
      <c r="R90" s="20"/>
      <c r="S90" s="12"/>
      <c r="T90" s="12"/>
      <c r="U90" s="10" t="str">
        <f>HYPERLINK("https://pbs.twimg.com/profile_images/429683038466101248/4lWjAhaV.jpeg","View")</f>
        <v>View</v>
      </c>
    </row>
    <row r="91" spans="1:21" ht="20.399999999999999">
      <c r="A91" s="6">
        <v>43442.44667824074</v>
      </c>
      <c r="B91" s="7" t="str">
        <f>HYPERLINK("https://twitter.com/PortPartes","@PortPartes")</f>
        <v>@PortPartes</v>
      </c>
      <c r="C91" s="8" t="s">
        <v>456</v>
      </c>
      <c r="D91" s="9" t="s">
        <v>455</v>
      </c>
      <c r="E91" s="10" t="str">
        <f>HYPERLINK("https://twitter.com/PortPartes/status/1071339403686174720","1071339403686174720")</f>
        <v>1071339403686174720</v>
      </c>
      <c r="F91" s="11" t="s">
        <v>127</v>
      </c>
      <c r="G91" s="12"/>
      <c r="H91" s="12"/>
      <c r="I91" s="13">
        <v>0</v>
      </c>
      <c r="J91" s="13">
        <v>0</v>
      </c>
      <c r="K91" s="14" t="str">
        <f t="shared" si="14"/>
        <v>Twitter for Android</v>
      </c>
      <c r="L91" s="13">
        <v>617</v>
      </c>
      <c r="M91" s="13">
        <v>1448</v>
      </c>
      <c r="N91" s="13">
        <v>13</v>
      </c>
      <c r="O91" s="15"/>
      <c r="P91" s="6">
        <v>41980.85092592593</v>
      </c>
      <c r="Q91" s="12"/>
      <c r="R91" s="20"/>
      <c r="S91" s="12"/>
      <c r="T91" s="12"/>
      <c r="U91" s="10" t="str">
        <f>HYPERLINK("https://pbs.twimg.com/profile_images/1066620320029777920/NLOCVf5z.jpg","View")</f>
        <v>View</v>
      </c>
    </row>
    <row r="92" spans="1:21" ht="13.2">
      <c r="A92" s="6">
        <v>43442.440023148149</v>
      </c>
      <c r="B92" s="7" t="str">
        <f>HYPERLINK("https://twitter.com/Julianvirome","@Julianvirome")</f>
        <v>@Julianvirome</v>
      </c>
      <c r="C92" s="8" t="s">
        <v>457</v>
      </c>
      <c r="D92" s="9" t="s">
        <v>458</v>
      </c>
      <c r="E92" s="10" t="str">
        <f>HYPERLINK("https://twitter.com/Julianvirome/status/1071336995329323010","1071336995329323010")</f>
        <v>1071336995329323010</v>
      </c>
      <c r="F92" s="11" t="s">
        <v>127</v>
      </c>
      <c r="G92" s="12"/>
      <c r="H92" s="12"/>
      <c r="I92" s="13">
        <v>0</v>
      </c>
      <c r="J92" s="13">
        <v>0</v>
      </c>
      <c r="K92" s="14" t="str">
        <f t="shared" si="14"/>
        <v>Twitter for Android</v>
      </c>
      <c r="L92" s="13">
        <v>2630</v>
      </c>
      <c r="M92" s="13">
        <v>4994</v>
      </c>
      <c r="N92" s="13">
        <v>23</v>
      </c>
      <c r="O92" s="15"/>
      <c r="P92" s="6">
        <v>40630.875810185185</v>
      </c>
      <c r="Q92" s="16" t="s">
        <v>191</v>
      </c>
      <c r="R92" s="17" t="s">
        <v>459</v>
      </c>
      <c r="S92" s="12"/>
      <c r="T92" s="12"/>
      <c r="U92" s="10" t="str">
        <f>HYPERLINK("https://pbs.twimg.com/profile_images/1015475281803530241/aBROVKXy.jpg","View")</f>
        <v>View</v>
      </c>
    </row>
    <row r="93" spans="1:21" ht="30.6">
      <c r="A93" s="6">
        <v>43442.439583333333</v>
      </c>
      <c r="B93" s="7" t="str">
        <f>HYPERLINK("https://twitter.com/ElHuffPost","@ElHuffPost")</f>
        <v>@ElHuffPost</v>
      </c>
      <c r="C93" s="8" t="s">
        <v>106</v>
      </c>
      <c r="D93" s="9" t="s">
        <v>107</v>
      </c>
      <c r="E93" s="10" t="str">
        <f>HYPERLINK("https://twitter.com/ElHuffPost/status/1071336833936551936","1071336833936551936")</f>
        <v>1071336833936551936</v>
      </c>
      <c r="F93" s="11" t="s">
        <v>108</v>
      </c>
      <c r="G93" s="12"/>
      <c r="H93" s="12"/>
      <c r="I93" s="13">
        <v>0</v>
      </c>
      <c r="J93" s="13">
        <v>1</v>
      </c>
      <c r="K93" s="14" t="str">
        <f>HYPERLINK("https://about.twitter.com/products/tweetdeck","TweetDeck")</f>
        <v>TweetDeck</v>
      </c>
      <c r="L93" s="13">
        <v>431182</v>
      </c>
      <c r="M93" s="13">
        <v>1551</v>
      </c>
      <c r="N93" s="13">
        <v>8193</v>
      </c>
      <c r="O93" s="19" t="s">
        <v>44</v>
      </c>
      <c r="P93" s="6">
        <v>40785.027118055557</v>
      </c>
      <c r="Q93" s="16" t="s">
        <v>109</v>
      </c>
      <c r="R93" s="17" t="s">
        <v>110</v>
      </c>
      <c r="S93" s="11" t="s">
        <v>111</v>
      </c>
      <c r="T93" s="12"/>
      <c r="U93" s="10" t="str">
        <f>HYPERLINK("https://pbs.twimg.com/profile_images/921140803422089217/ETOEUOAx.jpg","View")</f>
        <v>View</v>
      </c>
    </row>
    <row r="94" spans="1:21" ht="51">
      <c r="A94" s="6">
        <v>43442.438668981486</v>
      </c>
      <c r="B94" s="7" t="str">
        <f>HYPERLINK("https://twitter.com/IraLibertad","@IraLibertad")</f>
        <v>@IraLibertad</v>
      </c>
      <c r="C94" s="8" t="s">
        <v>343</v>
      </c>
      <c r="D94" s="9" t="s">
        <v>460</v>
      </c>
      <c r="E94" s="10" t="str">
        <f>HYPERLINK("https://twitter.com/IraLibertad/status/1071336505019416576","1071336505019416576")</f>
        <v>1071336505019416576</v>
      </c>
      <c r="F94" s="11" t="s">
        <v>461</v>
      </c>
      <c r="G94" s="12"/>
      <c r="H94" s="12"/>
      <c r="I94" s="13">
        <v>0</v>
      </c>
      <c r="J94" s="13">
        <v>0</v>
      </c>
      <c r="K94" s="14" t="str">
        <f t="shared" ref="K94:K95" si="15">HYPERLINK("http://twitter.com/download/iphone","Twitter for iPhone")</f>
        <v>Twitter for iPhone</v>
      </c>
      <c r="L94" s="13">
        <v>2</v>
      </c>
      <c r="M94" s="13">
        <v>11</v>
      </c>
      <c r="N94" s="13">
        <v>0</v>
      </c>
      <c r="O94" s="15"/>
      <c r="P94" s="6">
        <v>43161.771828703699</v>
      </c>
      <c r="Q94" s="12"/>
      <c r="R94" s="20"/>
      <c r="S94" s="12"/>
      <c r="T94" s="12"/>
      <c r="U94" s="10" t="str">
        <f>HYPERLINK("https://pbs.twimg.com/profile_images/1044153695968137216/6KuPO2YK.jpg","View")</f>
        <v>View</v>
      </c>
    </row>
    <row r="95" spans="1:21" ht="71.400000000000006">
      <c r="A95" s="6">
        <v>43442.429722222223</v>
      </c>
      <c r="B95" s="7" t="str">
        <f>HYPERLINK("https://twitter.com/victor_hurtado","@victor_hurtado")</f>
        <v>@victor_hurtado</v>
      </c>
      <c r="C95" s="8" t="s">
        <v>462</v>
      </c>
      <c r="D95" s="9" t="s">
        <v>463</v>
      </c>
      <c r="E95" s="10" t="str">
        <f>HYPERLINK("https://twitter.com/victor_hurtado/status/1071333261543116800","1071333261543116800")</f>
        <v>1071333261543116800</v>
      </c>
      <c r="F95" s="11" t="s">
        <v>464</v>
      </c>
      <c r="G95" s="11" t="s">
        <v>465</v>
      </c>
      <c r="H95" s="12"/>
      <c r="I95" s="13">
        <v>0</v>
      </c>
      <c r="J95" s="13">
        <v>2</v>
      </c>
      <c r="K95" s="14" t="str">
        <f t="shared" si="15"/>
        <v>Twitter for iPhone</v>
      </c>
      <c r="L95" s="13">
        <v>3253</v>
      </c>
      <c r="M95" s="13">
        <v>4022</v>
      </c>
      <c r="N95" s="13">
        <v>63</v>
      </c>
      <c r="O95" s="15"/>
      <c r="P95" s="6">
        <v>39879.0859375</v>
      </c>
      <c r="Q95" s="16" t="s">
        <v>466</v>
      </c>
      <c r="R95" s="17" t="s">
        <v>467</v>
      </c>
      <c r="S95" s="11" t="s">
        <v>468</v>
      </c>
      <c r="T95" s="12"/>
      <c r="U95" s="10" t="str">
        <f>HYPERLINK("https://pbs.twimg.com/profile_images/1039975279660347392/bO9WsDmW.jpg","View")</f>
        <v>View</v>
      </c>
    </row>
    <row r="96" spans="1:21" ht="20.399999999999999">
      <c r="A96" s="6">
        <v>43442.427604166667</v>
      </c>
      <c r="B96" s="7" t="str">
        <f>HYPERLINK("https://twitter.com/rmorenosegura","@rmorenosegura")</f>
        <v>@rmorenosegura</v>
      </c>
      <c r="C96" s="8" t="s">
        <v>469</v>
      </c>
      <c r="D96" s="9" t="s">
        <v>143</v>
      </c>
      <c r="E96" s="10" t="str">
        <f>HYPERLINK("https://twitter.com/rmorenosegura/status/1071332493780049920","1071332493780049920")</f>
        <v>1071332493780049920</v>
      </c>
      <c r="F96" s="11" t="s">
        <v>144</v>
      </c>
      <c r="G96" s="12"/>
      <c r="H96" s="12"/>
      <c r="I96" s="13">
        <v>0</v>
      </c>
      <c r="J96" s="13">
        <v>0</v>
      </c>
      <c r="K96" s="14" t="str">
        <f>HYPERLINK("http://twitter.com/#!/download/ipad","Twitter for iPad")</f>
        <v>Twitter for iPad</v>
      </c>
      <c r="L96" s="13">
        <v>13127</v>
      </c>
      <c r="M96" s="13">
        <v>11898</v>
      </c>
      <c r="N96" s="13">
        <v>243</v>
      </c>
      <c r="O96" s="15"/>
      <c r="P96" s="6">
        <v>40253.590173611112</v>
      </c>
      <c r="Q96" s="16" t="s">
        <v>470</v>
      </c>
      <c r="R96" s="17" t="s">
        <v>471</v>
      </c>
      <c r="S96" s="12"/>
      <c r="T96" s="12"/>
      <c r="U96" s="10" t="str">
        <f>HYPERLINK("https://pbs.twimg.com/profile_images/1067020406706581504/eL-btVyQ.jpg","View")</f>
        <v>View</v>
      </c>
    </row>
    <row r="97" spans="1:21" ht="71.400000000000006">
      <c r="A97" s="6">
        <v>43442.427187499998</v>
      </c>
      <c r="B97" s="7" t="str">
        <f>HYPERLINK("https://twitter.com/asambleamajaras","@asambleamajaras")</f>
        <v>@asambleamajaras</v>
      </c>
      <c r="C97" s="8" t="s">
        <v>472</v>
      </c>
      <c r="D97" s="9" t="s">
        <v>473</v>
      </c>
      <c r="E97" s="10" t="str">
        <f>HYPERLINK("https://twitter.com/asambleamajaras/status/1071332343363895296","1071332343363895296")</f>
        <v>1071332343363895296</v>
      </c>
      <c r="F97" s="16" t="s">
        <v>474</v>
      </c>
      <c r="G97" s="12"/>
      <c r="H97" s="12"/>
      <c r="I97" s="13">
        <v>0</v>
      </c>
      <c r="J97" s="13">
        <v>0</v>
      </c>
      <c r="K97" s="14" t="str">
        <f>HYPERLINK("http://twitter.com/download/android","Twitter for Android")</f>
        <v>Twitter for Android</v>
      </c>
      <c r="L97" s="13">
        <v>2280</v>
      </c>
      <c r="M97" s="13">
        <v>2079</v>
      </c>
      <c r="N97" s="13">
        <v>78</v>
      </c>
      <c r="O97" s="15"/>
      <c r="P97" s="6">
        <v>40215.998657407406</v>
      </c>
      <c r="Q97" s="16" t="s">
        <v>48</v>
      </c>
      <c r="R97" s="17" t="s">
        <v>475</v>
      </c>
      <c r="S97" s="11" t="s">
        <v>476</v>
      </c>
      <c r="T97" s="12"/>
      <c r="U97" s="10" t="str">
        <f>HYPERLINK("https://pbs.twimg.com/profile_images/680158208/asambleademajaras_logo_y_texto.jpg","View")</f>
        <v>View</v>
      </c>
    </row>
    <row r="98" spans="1:21" ht="30.6">
      <c r="A98" s="6">
        <v>43442.424571759257</v>
      </c>
      <c r="B98" s="7" t="str">
        <f>HYPERLINK("https://twitter.com/LuisMancerag","@LuisMancerag")</f>
        <v>@LuisMancerag</v>
      </c>
      <c r="C98" s="8" t="s">
        <v>477</v>
      </c>
      <c r="D98" s="9" t="s">
        <v>478</v>
      </c>
      <c r="E98" s="10" t="str">
        <f>HYPERLINK("https://twitter.com/LuisMancerag/status/1071331395165962247","1071331395165962247")</f>
        <v>1071331395165962247</v>
      </c>
      <c r="F98" s="11" t="s">
        <v>479</v>
      </c>
      <c r="G98" s="12"/>
      <c r="H98" s="12"/>
      <c r="I98" s="13">
        <v>2</v>
      </c>
      <c r="J98" s="13">
        <v>1</v>
      </c>
      <c r="K98" s="14" t="str">
        <f>HYPERLINK("http://www.facebook.com/twitter","Facebook")</f>
        <v>Facebook</v>
      </c>
      <c r="L98" s="13">
        <v>599</v>
      </c>
      <c r="M98" s="13">
        <v>1774</v>
      </c>
      <c r="N98" s="13">
        <v>5</v>
      </c>
      <c r="O98" s="15"/>
      <c r="P98" s="6">
        <v>40705.599409722221</v>
      </c>
      <c r="Q98" s="16" t="s">
        <v>191</v>
      </c>
      <c r="R98" s="17" t="s">
        <v>480</v>
      </c>
      <c r="S98" s="12"/>
      <c r="T98" s="12"/>
      <c r="U98" s="10" t="str">
        <f>HYPERLINK("https://pbs.twimg.com/profile_images/1391197895/luis.jpg","View")</f>
        <v>View</v>
      </c>
    </row>
    <row r="99" spans="1:21" ht="20.399999999999999">
      <c r="A99" s="6">
        <v>43442.409942129627</v>
      </c>
      <c r="B99" s="7" t="str">
        <f>HYPERLINK("https://twitter.com/castellanapura","@castellanapura")</f>
        <v>@castellanapura</v>
      </c>
      <c r="C99" s="8" t="s">
        <v>481</v>
      </c>
      <c r="D99" s="9" t="s">
        <v>143</v>
      </c>
      <c r="E99" s="10" t="str">
        <f>HYPERLINK("https://twitter.com/castellanapura/status/1071326092051603457","1071326092051603457")</f>
        <v>1071326092051603457</v>
      </c>
      <c r="F99" s="11" t="s">
        <v>144</v>
      </c>
      <c r="G99" s="12"/>
      <c r="H99" s="12"/>
      <c r="I99" s="13">
        <v>0</v>
      </c>
      <c r="J99" s="13">
        <v>0</v>
      </c>
      <c r="K99" s="14" t="str">
        <f>HYPERLINK("http://twitter.com","Twitter Web Client")</f>
        <v>Twitter Web Client</v>
      </c>
      <c r="L99" s="13">
        <v>2285</v>
      </c>
      <c r="M99" s="13">
        <v>3995</v>
      </c>
      <c r="N99" s="13">
        <v>98</v>
      </c>
      <c r="O99" s="15"/>
      <c r="P99" s="6">
        <v>41264.520324074074</v>
      </c>
      <c r="Q99" s="12"/>
      <c r="R99" s="17" t="s">
        <v>482</v>
      </c>
      <c r="S99" s="12"/>
      <c r="T99" s="12"/>
      <c r="U99" s="10" t="str">
        <f>HYPERLINK("https://pbs.twimg.com/profile_images/999929581233754112/1NA6LUp0.jpg","View")</f>
        <v>View</v>
      </c>
    </row>
    <row r="100" spans="1:21" ht="51">
      <c r="A100" s="6">
        <v>43442.398252314815</v>
      </c>
      <c r="B100" s="7" t="str">
        <f>HYPERLINK("https://twitter.com/UgtSuroeste","@UgtSuroeste")</f>
        <v>@UgtSuroeste</v>
      </c>
      <c r="C100" s="8" t="s">
        <v>483</v>
      </c>
      <c r="D100" s="9" t="s">
        <v>484</v>
      </c>
      <c r="E100" s="10" t="str">
        <f>HYPERLINK("https://twitter.com/UgtSuroeste/status/1071321855137644545","1071321855137644545")</f>
        <v>1071321855137644545</v>
      </c>
      <c r="F100" s="11" t="s">
        <v>144</v>
      </c>
      <c r="G100" s="12"/>
      <c r="H100" s="12"/>
      <c r="I100" s="13">
        <v>0</v>
      </c>
      <c r="J100" s="13">
        <v>0</v>
      </c>
      <c r="K100" s="14" t="str">
        <f t="shared" ref="K100:K101" si="16">HYPERLINK("http://twitter.com/download/android","Twitter for Android")</f>
        <v>Twitter for Android</v>
      </c>
      <c r="L100" s="13">
        <v>486</v>
      </c>
      <c r="M100" s="13">
        <v>491</v>
      </c>
      <c r="N100" s="13">
        <v>5</v>
      </c>
      <c r="O100" s="15"/>
      <c r="P100" s="6">
        <v>42662.533402777779</v>
      </c>
      <c r="Q100" s="16" t="s">
        <v>485</v>
      </c>
      <c r="R100" s="17" t="s">
        <v>486</v>
      </c>
      <c r="S100" s="12"/>
      <c r="T100" s="12"/>
      <c r="U100" s="10" t="str">
        <f>HYPERLINK("https://pbs.twimg.com/profile_images/1061203308545826816/Y69tyNWm.jpg","View")</f>
        <v>View</v>
      </c>
    </row>
    <row r="101" spans="1:21" ht="51">
      <c r="A101" s="6">
        <v>43442.392384259263</v>
      </c>
      <c r="B101" s="7" t="str">
        <f>HYPERLINK("https://twitter.com/JordiRengel","@JordiRengel")</f>
        <v>@JordiRengel</v>
      </c>
      <c r="C101" s="8" t="s">
        <v>487</v>
      </c>
      <c r="D101" s="9" t="s">
        <v>488</v>
      </c>
      <c r="E101" s="10" t="str">
        <f>HYPERLINK("https://twitter.com/JordiRengel/status/1071319729002954752","1071319729002954752")</f>
        <v>1071319729002954752</v>
      </c>
      <c r="F101" s="11" t="s">
        <v>89</v>
      </c>
      <c r="G101" s="12"/>
      <c r="H101" s="12"/>
      <c r="I101" s="13">
        <v>0</v>
      </c>
      <c r="J101" s="13">
        <v>0</v>
      </c>
      <c r="K101" s="14" t="str">
        <f t="shared" si="16"/>
        <v>Twitter for Android</v>
      </c>
      <c r="L101" s="13">
        <v>368</v>
      </c>
      <c r="M101" s="13">
        <v>2259</v>
      </c>
      <c r="N101" s="13">
        <v>5</v>
      </c>
      <c r="O101" s="15"/>
      <c r="P101" s="6">
        <v>42370.673391203702</v>
      </c>
      <c r="Q101" s="16" t="s">
        <v>490</v>
      </c>
      <c r="R101" s="17" t="s">
        <v>491</v>
      </c>
      <c r="S101" s="12"/>
      <c r="T101" s="12"/>
      <c r="U101" s="10" t="str">
        <f>HYPERLINK("https://pbs.twimg.com/profile_images/1036262714912518144/O2g2sHij.jpg","View")</f>
        <v>View</v>
      </c>
    </row>
    <row r="102" spans="1:21" ht="20.399999999999999">
      <c r="A102" s="6">
        <v>43442.37091435185</v>
      </c>
      <c r="B102" s="7" t="str">
        <f>HYPERLINK("https://twitter.com/Laia78149245","@Laia78149245")</f>
        <v>@Laia78149245</v>
      </c>
      <c r="C102" s="8" t="s">
        <v>493</v>
      </c>
      <c r="D102" s="9" t="s">
        <v>494</v>
      </c>
      <c r="E102" s="10" t="str">
        <f>HYPERLINK("https://twitter.com/Laia78149245/status/1071311949676318720","1071311949676318720")</f>
        <v>1071311949676318720</v>
      </c>
      <c r="F102" s="11" t="s">
        <v>89</v>
      </c>
      <c r="G102" s="12"/>
      <c r="H102" s="12"/>
      <c r="I102" s="13">
        <v>0</v>
      </c>
      <c r="J102" s="13">
        <v>0</v>
      </c>
      <c r="K102" s="14" t="str">
        <f t="shared" ref="K102:K103" si="17">HYPERLINK("http://twitter.com","Twitter Web Client")</f>
        <v>Twitter Web Client</v>
      </c>
      <c r="L102" s="13">
        <v>26</v>
      </c>
      <c r="M102" s="13">
        <v>166</v>
      </c>
      <c r="N102" s="13">
        <v>0</v>
      </c>
      <c r="O102" s="15"/>
      <c r="P102" s="6">
        <v>43419.379965277782</v>
      </c>
      <c r="Q102" s="12"/>
      <c r="R102" s="20"/>
      <c r="S102" s="12"/>
      <c r="T102" s="12"/>
      <c r="U102" s="10" t="str">
        <f>HYPERLINK("https://pbs.twimg.com/profile_images/1068171914374467586/BMng8lxb.jpg","View")</f>
        <v>View</v>
      </c>
    </row>
    <row r="103" spans="1:21" ht="51">
      <c r="A103" s="6">
        <v>43442.368634259255</v>
      </c>
      <c r="B103" s="7" t="str">
        <f>HYPERLINK("https://twitter.com/Luis456riverag2","@Luis456riverag2")</f>
        <v>@Luis456riverag2</v>
      </c>
      <c r="C103" s="8" t="s">
        <v>495</v>
      </c>
      <c r="D103" s="9" t="s">
        <v>496</v>
      </c>
      <c r="E103" s="10" t="str">
        <f>HYPERLINK("https://twitter.com/Luis456riverag2/status/1071311123415212032","1071311123415212032")</f>
        <v>1071311123415212032</v>
      </c>
      <c r="F103" s="12"/>
      <c r="G103" s="12"/>
      <c r="H103" s="12"/>
      <c r="I103" s="13">
        <v>0</v>
      </c>
      <c r="J103" s="13">
        <v>0</v>
      </c>
      <c r="K103" s="14" t="str">
        <f t="shared" si="17"/>
        <v>Twitter Web Client</v>
      </c>
      <c r="L103" s="13">
        <v>21</v>
      </c>
      <c r="M103" s="13">
        <v>285</v>
      </c>
      <c r="N103" s="13">
        <v>0</v>
      </c>
      <c r="O103" s="15"/>
      <c r="P103" s="6">
        <v>43374.368333333332</v>
      </c>
      <c r="Q103" s="12"/>
      <c r="R103" s="20"/>
      <c r="S103" s="12"/>
      <c r="T103" s="12"/>
      <c r="U103" s="19" t="s">
        <v>359</v>
      </c>
    </row>
    <row r="104" spans="1:21" ht="71.400000000000006">
      <c r="A104" s="6">
        <v>43442.36314814815</v>
      </c>
      <c r="B104" s="7" t="str">
        <f>HYPERLINK("https://twitter.com/ariasvicente431","@ariasvicente431")</f>
        <v>@ariasvicente431</v>
      </c>
      <c r="C104" s="8" t="s">
        <v>497</v>
      </c>
      <c r="D104" s="9" t="s">
        <v>498</v>
      </c>
      <c r="E104" s="10" t="str">
        <f>HYPERLINK("https://twitter.com/ariasvicente431/status/1071309135919153152","1071309135919153152")</f>
        <v>1071309135919153152</v>
      </c>
      <c r="F104" s="16" t="s">
        <v>499</v>
      </c>
      <c r="G104" s="12"/>
      <c r="H104" s="12"/>
      <c r="I104" s="13">
        <v>4</v>
      </c>
      <c r="J104" s="13">
        <v>1</v>
      </c>
      <c r="K104" s="14" t="str">
        <f>HYPERLINK("http://twitter.com/download/android","Twitter for Android")</f>
        <v>Twitter for Android</v>
      </c>
      <c r="L104" s="13">
        <v>2587</v>
      </c>
      <c r="M104" s="13">
        <v>4130</v>
      </c>
      <c r="N104" s="13">
        <v>26</v>
      </c>
      <c r="O104" s="15"/>
      <c r="P104" s="6">
        <v>42371.335706018523</v>
      </c>
      <c r="Q104" s="16" t="s">
        <v>500</v>
      </c>
      <c r="R104" s="17" t="s">
        <v>501</v>
      </c>
      <c r="S104" s="12"/>
      <c r="T104" s="12"/>
      <c r="U104" s="10" t="str">
        <f>HYPERLINK("https://pbs.twimg.com/profile_images/1050998342149386240/uw8lhWr6.jpg","View")</f>
        <v>View</v>
      </c>
    </row>
    <row r="105" spans="1:21" ht="40.799999999999997">
      <c r="A105" s="6">
        <v>43442.35802083333</v>
      </c>
      <c r="B105" s="7" t="str">
        <f>HYPERLINK("https://twitter.com/RamonTrivino","@RamonTrivino")</f>
        <v>@RamonTrivino</v>
      </c>
      <c r="C105" s="8" t="s">
        <v>502</v>
      </c>
      <c r="D105" s="9" t="s">
        <v>503</v>
      </c>
      <c r="E105" s="10" t="str">
        <f>HYPERLINK("https://twitter.com/RamonTrivino/status/1071307278182162432","1071307278182162432")</f>
        <v>1071307278182162432</v>
      </c>
      <c r="F105" s="11" t="s">
        <v>504</v>
      </c>
      <c r="G105" s="12"/>
      <c r="H105" s="12"/>
      <c r="I105" s="13">
        <v>0</v>
      </c>
      <c r="J105" s="13">
        <v>0</v>
      </c>
      <c r="K105" s="14" t="str">
        <f>HYPERLINK("http://twitter.com","Twitter Web Client")</f>
        <v>Twitter Web Client</v>
      </c>
      <c r="L105" s="13">
        <v>1582</v>
      </c>
      <c r="M105" s="13">
        <v>767</v>
      </c>
      <c r="N105" s="13">
        <v>38</v>
      </c>
      <c r="O105" s="15"/>
      <c r="P105" s="6">
        <v>40640.568657407406</v>
      </c>
      <c r="Q105" s="16" t="s">
        <v>48</v>
      </c>
      <c r="R105" s="17" t="s">
        <v>505</v>
      </c>
      <c r="S105" s="16" t="s">
        <v>506</v>
      </c>
      <c r="T105" s="12"/>
      <c r="U105" s="10" t="str">
        <f>HYPERLINK("https://pbs.twimg.com/profile_images/934117912494985218/iDOzl85e.jpg","View")</f>
        <v>View</v>
      </c>
    </row>
    <row r="106" spans="1:21" ht="40.799999999999997">
      <c r="A106" s="6">
        <v>43442.354212962964</v>
      </c>
      <c r="B106" s="7" t="str">
        <f>HYPERLINK("https://twitter.com/El_Plural","@El_Plural")</f>
        <v>@El_Plural</v>
      </c>
      <c r="C106" s="8" t="s">
        <v>507</v>
      </c>
      <c r="D106" s="9" t="s">
        <v>508</v>
      </c>
      <c r="E106" s="10" t="str">
        <f>HYPERLINK("https://twitter.com/El_Plural/status/1071305896075149312","1071305896075149312")</f>
        <v>1071305896075149312</v>
      </c>
      <c r="F106" s="11" t="s">
        <v>509</v>
      </c>
      <c r="G106" s="12"/>
      <c r="H106" s="12"/>
      <c r="I106" s="13">
        <v>10</v>
      </c>
      <c r="J106" s="13">
        <v>7</v>
      </c>
      <c r="K106" s="14" t="str">
        <f>HYPERLINK("http://www.wearebab.com","Comitium5 BAB")</f>
        <v>Comitium5 BAB</v>
      </c>
      <c r="L106" s="13">
        <v>72031</v>
      </c>
      <c r="M106" s="13">
        <v>1650</v>
      </c>
      <c r="N106" s="13">
        <v>2018</v>
      </c>
      <c r="O106" s="15"/>
      <c r="P106" s="6">
        <v>40351.51053240741</v>
      </c>
      <c r="Q106" s="16" t="s">
        <v>48</v>
      </c>
      <c r="R106" s="17" t="s">
        <v>510</v>
      </c>
      <c r="S106" s="11" t="s">
        <v>511</v>
      </c>
      <c r="T106" s="12"/>
      <c r="U106" s="10" t="str">
        <f>HYPERLINK("https://pbs.twimg.com/profile_images/1017707018138857473/kUt8X2tn.jpg","View")</f>
        <v>View</v>
      </c>
    </row>
    <row r="107" spans="1:21" ht="20.399999999999999">
      <c r="A107" s="6">
        <v>43442.340462962966</v>
      </c>
      <c r="B107" s="7" t="str">
        <f>HYPERLINK("https://twitter.com/natipcu","@natipcu")</f>
        <v>@natipcu</v>
      </c>
      <c r="C107" s="8" t="s">
        <v>513</v>
      </c>
      <c r="D107" s="9" t="s">
        <v>273</v>
      </c>
      <c r="E107" s="10" t="str">
        <f>HYPERLINK("https://twitter.com/natipcu/status/1071300916035362816","1071300916035362816")</f>
        <v>1071300916035362816</v>
      </c>
      <c r="F107" s="11" t="s">
        <v>144</v>
      </c>
      <c r="G107" s="12"/>
      <c r="H107" s="12"/>
      <c r="I107" s="13">
        <v>0</v>
      </c>
      <c r="J107" s="13">
        <v>0</v>
      </c>
      <c r="K107" s="14" t="str">
        <f>HYPERLINK("http://www.facebook.com/twitter","Facebook")</f>
        <v>Facebook</v>
      </c>
      <c r="L107" s="13">
        <v>373</v>
      </c>
      <c r="M107" s="13">
        <v>959</v>
      </c>
      <c r="N107" s="13">
        <v>6</v>
      </c>
      <c r="O107" s="15"/>
      <c r="P107" s="6">
        <v>41011.381006944444</v>
      </c>
      <c r="Q107" s="16" t="s">
        <v>514</v>
      </c>
      <c r="R107" s="17" t="s">
        <v>515</v>
      </c>
      <c r="S107" s="12"/>
      <c r="T107" s="12"/>
      <c r="U107" s="10" t="str">
        <f>HYPERLINK("https://pbs.twimg.com/profile_images/1040653426294759431/Hzpw4gD_.jpg","View")</f>
        <v>View</v>
      </c>
    </row>
    <row r="108" spans="1:21" ht="30.6">
      <c r="A108" s="6">
        <v>43442.307708333334</v>
      </c>
      <c r="B108" s="7" t="str">
        <f>HYPERLINK("https://twitter.com/miguelcanabal","@miguelcanabal")</f>
        <v>@miguelcanabal</v>
      </c>
      <c r="C108" s="8" t="s">
        <v>516</v>
      </c>
      <c r="D108" s="9" t="s">
        <v>273</v>
      </c>
      <c r="E108" s="10" t="str">
        <f>HYPERLINK("https://twitter.com/miguelcanabal/status/1071289043844038658","1071289043844038658")</f>
        <v>1071289043844038658</v>
      </c>
      <c r="F108" s="11" t="s">
        <v>144</v>
      </c>
      <c r="G108" s="12"/>
      <c r="H108" s="12"/>
      <c r="I108" s="13">
        <v>0</v>
      </c>
      <c r="J108" s="13">
        <v>0</v>
      </c>
      <c r="K108" s="14" t="str">
        <f>HYPERLINK("http://twitter.com/download/iphone","Twitter for iPhone")</f>
        <v>Twitter for iPhone</v>
      </c>
      <c r="L108" s="13">
        <v>1385</v>
      </c>
      <c r="M108" s="13">
        <v>806</v>
      </c>
      <c r="N108" s="13">
        <v>23</v>
      </c>
      <c r="O108" s="15"/>
      <c r="P108" s="6">
        <v>41549.853263888886</v>
      </c>
      <c r="Q108" s="16" t="s">
        <v>517</v>
      </c>
      <c r="R108" s="17" t="s">
        <v>518</v>
      </c>
      <c r="S108" s="12"/>
      <c r="T108" s="12"/>
      <c r="U108" s="10" t="str">
        <f>HYPERLINK("https://pbs.twimg.com/profile_images/378800000539186970/2a820c480335778b08c57ba3f2926cb0.jpeg","View")</f>
        <v>View</v>
      </c>
    </row>
    <row r="109" spans="1:21" ht="40.799999999999997">
      <c r="A109" s="6">
        <v>43442.277083333334</v>
      </c>
      <c r="B109" s="7" t="str">
        <f>HYPERLINK("https://twitter.com/lorigados27","@lorigados27")</f>
        <v>@lorigados27</v>
      </c>
      <c r="C109" s="8" t="s">
        <v>519</v>
      </c>
      <c r="D109" s="9" t="s">
        <v>520</v>
      </c>
      <c r="E109" s="10" t="str">
        <f>HYPERLINK("https://twitter.com/lorigados27/status/1071277947313643520","1071277947313643520")</f>
        <v>1071277947313643520</v>
      </c>
      <c r="F109" s="12"/>
      <c r="G109" s="11" t="s">
        <v>521</v>
      </c>
      <c r="H109" s="12"/>
      <c r="I109" s="13">
        <v>3</v>
      </c>
      <c r="J109" s="13">
        <v>5</v>
      </c>
      <c r="K109" s="14" t="str">
        <f>HYPERLINK("http://twitter.com/download/android","Twitter for Android")</f>
        <v>Twitter for Android</v>
      </c>
      <c r="L109" s="13">
        <v>8582</v>
      </c>
      <c r="M109" s="13">
        <v>7130</v>
      </c>
      <c r="N109" s="13">
        <v>11</v>
      </c>
      <c r="O109" s="15"/>
      <c r="P109" s="6">
        <v>40825.375381944446</v>
      </c>
      <c r="Q109" s="16" t="s">
        <v>522</v>
      </c>
      <c r="R109" s="17" t="s">
        <v>523</v>
      </c>
      <c r="S109" s="12"/>
      <c r="T109" s="12"/>
      <c r="U109" s="10" t="str">
        <f>HYPERLINK("https://pbs.twimg.com/profile_images/972191901880406016/5N7GlSYc.jpg","View")</f>
        <v>View</v>
      </c>
    </row>
    <row r="110" spans="1:21" ht="81.599999999999994">
      <c r="A110" s="6">
        <v>43442.184988425928</v>
      </c>
      <c r="B110" s="7" t="str">
        <f>HYPERLINK("https://twitter.com/monica79712","@monica79712")</f>
        <v>@monica79712</v>
      </c>
      <c r="C110" s="8" t="s">
        <v>525</v>
      </c>
      <c r="D110" s="9" t="s">
        <v>526</v>
      </c>
      <c r="E110" s="10" t="str">
        <f>HYPERLINK("https://twitter.com/monica79712/status/1071244571324149760","1071244571324149760")</f>
        <v>1071244571324149760</v>
      </c>
      <c r="F110" s="11" t="s">
        <v>527</v>
      </c>
      <c r="G110" s="12"/>
      <c r="H110" s="12"/>
      <c r="I110" s="13">
        <v>0</v>
      </c>
      <c r="J110" s="13">
        <v>0</v>
      </c>
      <c r="K110" s="14" t="str">
        <f t="shared" ref="K110:K111" si="18">HYPERLINK("https://ifttt.com","IFTTT")</f>
        <v>IFTTT</v>
      </c>
      <c r="L110" s="13">
        <v>8</v>
      </c>
      <c r="M110" s="13">
        <v>0</v>
      </c>
      <c r="N110" s="13">
        <v>0</v>
      </c>
      <c r="O110" s="15"/>
      <c r="P110" s="6">
        <v>41947.499942129631</v>
      </c>
      <c r="Q110" s="16" t="s">
        <v>525</v>
      </c>
      <c r="R110" s="17" t="s">
        <v>528</v>
      </c>
      <c r="S110" s="11" t="s">
        <v>529</v>
      </c>
      <c r="T110" s="12"/>
      <c r="U110" s="10" t="str">
        <f>HYPERLINK("https://pbs.twimg.com/profile_images/823624442563756032/qex4prg9.jpg","View")</f>
        <v>View</v>
      </c>
    </row>
    <row r="111" spans="1:21" ht="61.2">
      <c r="A111" s="6">
        <v>43442.184259259258</v>
      </c>
      <c r="B111" s="7" t="str">
        <f>HYPERLINK("https://twitter.com/manuelr24881275","@manuelr24881275")</f>
        <v>@manuelr24881275</v>
      </c>
      <c r="C111" s="8" t="s">
        <v>530</v>
      </c>
      <c r="D111" s="9" t="s">
        <v>526</v>
      </c>
      <c r="E111" s="10" t="str">
        <f>HYPERLINK("https://twitter.com/manuelr24881275/status/1071244306353176581","1071244306353176581")</f>
        <v>1071244306353176581</v>
      </c>
      <c r="F111" s="11" t="s">
        <v>527</v>
      </c>
      <c r="G111" s="12"/>
      <c r="H111" s="12"/>
      <c r="I111" s="13">
        <v>0</v>
      </c>
      <c r="J111" s="13">
        <v>0</v>
      </c>
      <c r="K111" s="14" t="str">
        <f t="shared" si="18"/>
        <v>IFTTT</v>
      </c>
      <c r="L111" s="13">
        <v>10</v>
      </c>
      <c r="M111" s="13">
        <v>0</v>
      </c>
      <c r="N111" s="13">
        <v>0</v>
      </c>
      <c r="O111" s="15"/>
      <c r="P111" s="6">
        <v>43220.80369212963</v>
      </c>
      <c r="Q111" s="16" t="s">
        <v>525</v>
      </c>
      <c r="R111" s="17" t="s">
        <v>531</v>
      </c>
      <c r="S111" s="11" t="s">
        <v>532</v>
      </c>
      <c r="T111" s="12"/>
      <c r="U111" s="10" t="str">
        <f>HYPERLINK("https://pbs.twimg.com/profile_images/993104227806433280/S94rZixK.jpg","View")</f>
        <v>View</v>
      </c>
    </row>
    <row r="112" spans="1:21" ht="40.799999999999997">
      <c r="A112" s="6">
        <v>43442.158182870371</v>
      </c>
      <c r="B112" s="7" t="str">
        <f>HYPERLINK("https://twitter.com/_MSanchez_","@_MSanchez_")</f>
        <v>@_MSanchez_</v>
      </c>
      <c r="C112" s="8" t="s">
        <v>533</v>
      </c>
      <c r="D112" s="9" t="s">
        <v>534</v>
      </c>
      <c r="E112" s="10" t="str">
        <f>HYPERLINK("https://twitter.com/_MSanchez_/status/1071234858784096256","1071234858784096256")</f>
        <v>1071234858784096256</v>
      </c>
      <c r="F112" s="11" t="s">
        <v>535</v>
      </c>
      <c r="G112" s="12"/>
      <c r="H112" s="12"/>
      <c r="I112" s="13">
        <v>0</v>
      </c>
      <c r="J112" s="13">
        <v>0</v>
      </c>
      <c r="K112" s="14" t="str">
        <f>HYPERLINK("http://twitter.com","Twitter Web Client")</f>
        <v>Twitter Web Client</v>
      </c>
      <c r="L112" s="13">
        <v>694</v>
      </c>
      <c r="M112" s="13">
        <v>988</v>
      </c>
      <c r="N112" s="13">
        <v>9</v>
      </c>
      <c r="O112" s="15"/>
      <c r="P112" s="6">
        <v>40635.999351851853</v>
      </c>
      <c r="Q112" s="16" t="s">
        <v>536</v>
      </c>
      <c r="R112" s="17" t="s">
        <v>537</v>
      </c>
      <c r="S112" s="11" t="s">
        <v>538</v>
      </c>
      <c r="T112" s="12"/>
      <c r="U112" s="10" t="str">
        <f>HYPERLINK("https://pbs.twimg.com/profile_images/1055084653097431040/bUxh2bZj.jpg","View")</f>
        <v>View</v>
      </c>
    </row>
    <row r="113" spans="1:21" ht="51">
      <c r="A113" s="6">
        <v>43442.10633101852</v>
      </c>
      <c r="B113" s="7" t="str">
        <f>HYPERLINK("https://twitter.com/mikihoyos","@mikihoyos")</f>
        <v>@mikihoyos</v>
      </c>
      <c r="C113" s="8" t="s">
        <v>539</v>
      </c>
      <c r="D113" s="9" t="s">
        <v>540</v>
      </c>
      <c r="E113" s="10" t="str">
        <f>HYPERLINK("https://twitter.com/mikihoyos/status/1071216068541235200","1071216068541235200")</f>
        <v>1071216068541235200</v>
      </c>
      <c r="F113" s="12"/>
      <c r="G113" s="12"/>
      <c r="H113" s="12"/>
      <c r="I113" s="13">
        <v>8</v>
      </c>
      <c r="J113" s="13">
        <v>7</v>
      </c>
      <c r="K113" s="14" t="str">
        <f>HYPERLINK("http://twitter.com/download/android","Twitter for Android")</f>
        <v>Twitter for Android</v>
      </c>
      <c r="L113" s="13">
        <v>9403</v>
      </c>
      <c r="M113" s="13">
        <v>7649</v>
      </c>
      <c r="N113" s="13">
        <v>163</v>
      </c>
      <c r="O113" s="15"/>
      <c r="P113" s="6">
        <v>40661.414722222224</v>
      </c>
      <c r="Q113" s="16" t="s">
        <v>353</v>
      </c>
      <c r="R113" s="17" t="s">
        <v>541</v>
      </c>
      <c r="S113" s="12"/>
      <c r="T113" s="12"/>
      <c r="U113" s="10" t="str">
        <f>HYPERLINK("https://pbs.twimg.com/profile_images/1069548523098648576/ydkGrxO_.jpg","View")</f>
        <v>View</v>
      </c>
    </row>
    <row r="114" spans="1:21" ht="20.399999999999999">
      <c r="A114" s="6">
        <v>43442.104953703703</v>
      </c>
      <c r="B114" s="7" t="str">
        <f>HYPERLINK("https://twitter.com/gara_ice","@gara_ice")</f>
        <v>@gara_ice</v>
      </c>
      <c r="C114" s="8" t="s">
        <v>542</v>
      </c>
      <c r="D114" s="9" t="s">
        <v>543</v>
      </c>
      <c r="E114" s="10" t="str">
        <f>HYPERLINK("https://twitter.com/gara_ice/status/1071215570002108418","1071215570002108418")</f>
        <v>1071215570002108418</v>
      </c>
      <c r="F114" s="11" t="s">
        <v>544</v>
      </c>
      <c r="G114" s="12"/>
      <c r="H114" s="12"/>
      <c r="I114" s="13">
        <v>0</v>
      </c>
      <c r="J114" s="13">
        <v>0</v>
      </c>
      <c r="K114" s="14" t="str">
        <f>HYPERLINK("https://ifttt.com","IFTTT")</f>
        <v>IFTTT</v>
      </c>
      <c r="L114" s="13">
        <v>450</v>
      </c>
      <c r="M114" s="13">
        <v>434</v>
      </c>
      <c r="N114" s="13">
        <v>10</v>
      </c>
      <c r="O114" s="15"/>
      <c r="P114" s="6">
        <v>39590.435324074075</v>
      </c>
      <c r="Q114" s="12"/>
      <c r="R114" s="20"/>
      <c r="S114" s="12"/>
      <c r="T114" s="12"/>
      <c r="U114" s="10" t="str">
        <f>HYPERLINK("https://pbs.twimg.com/profile_images/561850533468971008/-4f3cnLr.jpeg","View")</f>
        <v>View</v>
      </c>
    </row>
    <row r="115" spans="1:21" ht="51">
      <c r="A115" s="6">
        <v>43442.066701388889</v>
      </c>
      <c r="B115" s="7" t="str">
        <f t="shared" ref="B115:B116" si="19">HYPERLINK("https://twitter.com/caval100","@caval100")</f>
        <v>@caval100</v>
      </c>
      <c r="C115" s="8" t="s">
        <v>72</v>
      </c>
      <c r="D115" s="9" t="s">
        <v>545</v>
      </c>
      <c r="E115" s="10" t="str">
        <f>HYPERLINK("https://twitter.com/caval100/status/1071201708628471808","1071201708628471808")</f>
        <v>1071201708628471808</v>
      </c>
      <c r="F115" s="11" t="s">
        <v>546</v>
      </c>
      <c r="G115" s="12"/>
      <c r="H115" s="12"/>
      <c r="I115" s="13">
        <v>1</v>
      </c>
      <c r="J115" s="13">
        <v>0</v>
      </c>
      <c r="K115" s="14" t="str">
        <f t="shared" ref="K115:K116" si="20">HYPERLINK("http://twitter.com/download/android","Twitter for Android")</f>
        <v>Twitter for Android</v>
      </c>
      <c r="L115" s="13">
        <v>119343</v>
      </c>
      <c r="M115" s="13">
        <v>94000</v>
      </c>
      <c r="N115" s="13">
        <v>982</v>
      </c>
      <c r="O115" s="15"/>
      <c r="P115" s="6">
        <v>40079.437094907407</v>
      </c>
      <c r="Q115" s="16" t="s">
        <v>75</v>
      </c>
      <c r="R115" s="17" t="s">
        <v>76</v>
      </c>
      <c r="S115" s="11" t="s">
        <v>77</v>
      </c>
      <c r="T115" s="12"/>
      <c r="U115" s="10" t="str">
        <f t="shared" ref="U115:U116" si="21">HYPERLINK("https://pbs.twimg.com/profile_images/965350678301429760/uvGI7g8U.jpg","View")</f>
        <v>View</v>
      </c>
    </row>
    <row r="116" spans="1:21" ht="40.799999999999997">
      <c r="A116" s="6">
        <v>43442.065995370373</v>
      </c>
      <c r="B116" s="7" t="str">
        <f t="shared" si="19"/>
        <v>@caval100</v>
      </c>
      <c r="C116" s="8" t="s">
        <v>72</v>
      </c>
      <c r="D116" s="9" t="s">
        <v>73</v>
      </c>
      <c r="E116" s="10" t="str">
        <f>HYPERLINK("https://twitter.com/caval100/status/1071201449722478593","1071201449722478593")</f>
        <v>1071201449722478593</v>
      </c>
      <c r="F116" s="11" t="s">
        <v>74</v>
      </c>
      <c r="G116" s="12"/>
      <c r="H116" s="12"/>
      <c r="I116" s="13">
        <v>0</v>
      </c>
      <c r="J116" s="13">
        <v>0</v>
      </c>
      <c r="K116" s="14" t="str">
        <f t="shared" si="20"/>
        <v>Twitter for Android</v>
      </c>
      <c r="L116" s="13">
        <v>119343</v>
      </c>
      <c r="M116" s="13">
        <v>94000</v>
      </c>
      <c r="N116" s="13">
        <v>982</v>
      </c>
      <c r="O116" s="15"/>
      <c r="P116" s="6">
        <v>40079.437094907407</v>
      </c>
      <c r="Q116" s="16" t="s">
        <v>75</v>
      </c>
      <c r="R116" s="17" t="s">
        <v>76</v>
      </c>
      <c r="S116" s="11" t="s">
        <v>77</v>
      </c>
      <c r="T116" s="12"/>
      <c r="U116" s="10" t="str">
        <f t="shared" si="21"/>
        <v>View</v>
      </c>
    </row>
    <row r="117" spans="1:21" ht="20.399999999999999">
      <c r="A117" s="6">
        <v>43442.032777777778</v>
      </c>
      <c r="B117" s="7" t="str">
        <f>HYPERLINK("https://twitter.com/joseantoniogo43","@joseantoniogo43")</f>
        <v>@joseantoniogo43</v>
      </c>
      <c r="C117" s="8" t="s">
        <v>547</v>
      </c>
      <c r="D117" s="9" t="s">
        <v>273</v>
      </c>
      <c r="E117" s="10" t="str">
        <f>HYPERLINK("https://twitter.com/joseantoniogo43/status/1071189414401978370","1071189414401978370")</f>
        <v>1071189414401978370</v>
      </c>
      <c r="F117" s="11" t="s">
        <v>144</v>
      </c>
      <c r="G117" s="12"/>
      <c r="H117" s="12"/>
      <c r="I117" s="13">
        <v>1</v>
      </c>
      <c r="J117" s="13">
        <v>0</v>
      </c>
      <c r="K117" s="14" t="str">
        <f>HYPERLINK("http://twitter.com","Twitter Web Client")</f>
        <v>Twitter Web Client</v>
      </c>
      <c r="L117" s="13">
        <v>4100</v>
      </c>
      <c r="M117" s="13">
        <v>4250</v>
      </c>
      <c r="N117" s="13">
        <v>39</v>
      </c>
      <c r="O117" s="15"/>
      <c r="P117" s="6">
        <v>40845.495509259257</v>
      </c>
      <c r="Q117" s="12"/>
      <c r="R117" s="20"/>
      <c r="S117" s="12"/>
      <c r="T117" s="12"/>
      <c r="U117" s="10" t="str">
        <f>HYPERLINK("https://pbs.twimg.com/profile_images/3576388686/a66d7c55b1a8af804079aea3e66d3f4f.jpeg","View")</f>
        <v>View</v>
      </c>
    </row>
    <row r="118" spans="1:21" ht="20.399999999999999">
      <c r="A118" s="6">
        <v>43442.022314814814</v>
      </c>
      <c r="B118" s="7" t="str">
        <f>HYPERLINK("https://twitter.com/JimRipense59","@JimRipense59")</f>
        <v>@JimRipense59</v>
      </c>
      <c r="C118" s="8" t="s">
        <v>549</v>
      </c>
      <c r="D118" s="9" t="s">
        <v>273</v>
      </c>
      <c r="E118" s="10" t="str">
        <f>HYPERLINK("https://twitter.com/JimRipense59/status/1071185622218485760","1071185622218485760")</f>
        <v>1071185622218485760</v>
      </c>
      <c r="F118" s="11" t="s">
        <v>144</v>
      </c>
      <c r="G118" s="12"/>
      <c r="H118" s="12"/>
      <c r="I118" s="13">
        <v>2</v>
      </c>
      <c r="J118" s="13">
        <v>2</v>
      </c>
      <c r="K118" s="14" t="str">
        <f>HYPERLINK("http://twitter.com/download/iphone","Twitter for iPhone")</f>
        <v>Twitter for iPhone</v>
      </c>
      <c r="L118" s="13">
        <v>10930</v>
      </c>
      <c r="M118" s="13">
        <v>7506</v>
      </c>
      <c r="N118" s="13">
        <v>115</v>
      </c>
      <c r="O118" s="15"/>
      <c r="P118" s="6">
        <v>40865.965127314819</v>
      </c>
      <c r="Q118" s="12"/>
      <c r="R118" s="17" t="s">
        <v>550</v>
      </c>
      <c r="S118" s="11" t="s">
        <v>551</v>
      </c>
      <c r="T118" s="12"/>
      <c r="U118" s="10" t="str">
        <f>HYPERLINK("https://pbs.twimg.com/profile_images/926724227956465664/VBYXT4_A.jpg","View")</f>
        <v>View</v>
      </c>
    </row>
    <row r="119" spans="1:21" ht="30.6">
      <c r="A119" s="6">
        <v>43442.022222222222</v>
      </c>
      <c r="B119" s="7" t="str">
        <f>HYPERLINK("https://twitter.com/ElHuffPost","@ElHuffPost")</f>
        <v>@ElHuffPost</v>
      </c>
      <c r="C119" s="8" t="s">
        <v>106</v>
      </c>
      <c r="D119" s="9" t="s">
        <v>107</v>
      </c>
      <c r="E119" s="10" t="str">
        <f>HYPERLINK("https://twitter.com/ElHuffPost/status/1071185587502235659","1071185587502235659")</f>
        <v>1071185587502235659</v>
      </c>
      <c r="F119" s="11" t="s">
        <v>108</v>
      </c>
      <c r="G119" s="12"/>
      <c r="H119" s="12"/>
      <c r="I119" s="13">
        <v>2</v>
      </c>
      <c r="J119" s="13">
        <v>1</v>
      </c>
      <c r="K119" s="14" t="str">
        <f>HYPERLINK("https://about.twitter.com/products/tweetdeck","TweetDeck")</f>
        <v>TweetDeck</v>
      </c>
      <c r="L119" s="13">
        <v>431182</v>
      </c>
      <c r="M119" s="13">
        <v>1551</v>
      </c>
      <c r="N119" s="13">
        <v>8193</v>
      </c>
      <c r="O119" s="19" t="s">
        <v>44</v>
      </c>
      <c r="P119" s="6">
        <v>40785.027118055557</v>
      </c>
      <c r="Q119" s="16" t="s">
        <v>109</v>
      </c>
      <c r="R119" s="17" t="s">
        <v>110</v>
      </c>
      <c r="S119" s="11" t="s">
        <v>111</v>
      </c>
      <c r="T119" s="12"/>
      <c r="U119" s="10" t="str">
        <f>HYPERLINK("https://pbs.twimg.com/profile_images/921140803422089217/ETOEUOAx.jpg","View")</f>
        <v>View</v>
      </c>
    </row>
    <row r="120" spans="1:21" ht="40.799999999999997">
      <c r="A120" s="6">
        <v>43442.009085648147</v>
      </c>
      <c r="B120" s="7" t="str">
        <f>HYPERLINK("https://twitter.com/salvadorpastorb","@salvadorpastorb")</f>
        <v>@salvadorpastorb</v>
      </c>
      <c r="C120" s="8" t="s">
        <v>552</v>
      </c>
      <c r="D120" s="9" t="s">
        <v>143</v>
      </c>
      <c r="E120" s="10" t="str">
        <f>HYPERLINK("https://twitter.com/salvadorpastorb/status/1071180825658576896","1071180825658576896")</f>
        <v>1071180825658576896</v>
      </c>
      <c r="F120" s="11" t="s">
        <v>144</v>
      </c>
      <c r="G120" s="12"/>
      <c r="H120" s="12"/>
      <c r="I120" s="13">
        <v>0</v>
      </c>
      <c r="J120" s="13">
        <v>0</v>
      </c>
      <c r="K120" s="14" t="str">
        <f>HYPERLINK("http://twitter.com","Twitter Web Client")</f>
        <v>Twitter Web Client</v>
      </c>
      <c r="L120" s="13">
        <v>1845</v>
      </c>
      <c r="M120" s="13">
        <v>4998</v>
      </c>
      <c r="N120" s="13">
        <v>49</v>
      </c>
      <c r="O120" s="15"/>
      <c r="P120" s="6">
        <v>40972.034629629634</v>
      </c>
      <c r="Q120" s="16" t="s">
        <v>48</v>
      </c>
      <c r="R120" s="17" t="s">
        <v>553</v>
      </c>
      <c r="S120" s="11" t="s">
        <v>554</v>
      </c>
      <c r="T120" s="12"/>
      <c r="U120" s="10" t="str">
        <f>HYPERLINK("https://pbs.twimg.com/profile_images/1872162133/Imagen__4_.jpg","View")</f>
        <v>View</v>
      </c>
    </row>
    <row r="121" spans="1:21" ht="13.2">
      <c r="A121" s="6">
        <v>43442.002569444448</v>
      </c>
      <c r="B121" s="7" t="str">
        <f t="shared" ref="B121:B122" si="22">HYPERLINK("https://twitter.com/Pablo_Casado_","@Pablo_Casado_")</f>
        <v>@Pablo_Casado_</v>
      </c>
      <c r="C121" s="8" t="s">
        <v>555</v>
      </c>
      <c r="D121" s="9" t="s">
        <v>556</v>
      </c>
      <c r="E121" s="10" t="str">
        <f>HYPERLINK("https://twitter.com/Pablo_Casado_/status/1071178465351741441","1071178465351741441")</f>
        <v>1071178465351741441</v>
      </c>
      <c r="F121" s="12"/>
      <c r="G121" s="12"/>
      <c r="H121" s="12"/>
      <c r="I121" s="13">
        <v>0</v>
      </c>
      <c r="J121" s="13">
        <v>0</v>
      </c>
      <c r="K121" s="14" t="str">
        <f t="shared" ref="K121:K122" si="23">HYPERLINK("https://mobile.twitter.com","Twitter Lite")</f>
        <v>Twitter Lite</v>
      </c>
      <c r="L121" s="13">
        <v>366</v>
      </c>
      <c r="M121" s="13">
        <v>402</v>
      </c>
      <c r="N121" s="13">
        <v>0</v>
      </c>
      <c r="O121" s="15"/>
      <c r="P121" s="6">
        <v>41662.878240740742</v>
      </c>
      <c r="Q121" s="16" t="s">
        <v>557</v>
      </c>
      <c r="R121" s="17" t="s">
        <v>558</v>
      </c>
      <c r="S121" s="11" t="s">
        <v>559</v>
      </c>
      <c r="T121" s="12"/>
      <c r="U121" s="10" t="str">
        <f t="shared" ref="U121:U122" si="24">HYPERLINK("https://pbs.twimg.com/profile_images/1062469649168809984/sPpeZvcL.jpg","View")</f>
        <v>View</v>
      </c>
    </row>
    <row r="122" spans="1:21" ht="13.2">
      <c r="A122" s="6">
        <v>43442.002442129626</v>
      </c>
      <c r="B122" s="7" t="str">
        <f t="shared" si="22"/>
        <v>@Pablo_Casado_</v>
      </c>
      <c r="C122" s="8" t="s">
        <v>555</v>
      </c>
      <c r="D122" s="9" t="s">
        <v>560</v>
      </c>
      <c r="E122" s="10" t="str">
        <f>HYPERLINK("https://twitter.com/Pablo_Casado_/status/1071178420049113088","1071178420049113088")</f>
        <v>1071178420049113088</v>
      </c>
      <c r="F122" s="12"/>
      <c r="G122" s="12"/>
      <c r="H122" s="12"/>
      <c r="I122" s="13">
        <v>0</v>
      </c>
      <c r="J122" s="13">
        <v>0</v>
      </c>
      <c r="K122" s="14" t="str">
        <f t="shared" si="23"/>
        <v>Twitter Lite</v>
      </c>
      <c r="L122" s="13">
        <v>366</v>
      </c>
      <c r="M122" s="13">
        <v>402</v>
      </c>
      <c r="N122" s="13">
        <v>0</v>
      </c>
      <c r="O122" s="15"/>
      <c r="P122" s="6">
        <v>41662.878240740742</v>
      </c>
      <c r="Q122" s="16" t="s">
        <v>557</v>
      </c>
      <c r="R122" s="17" t="s">
        <v>558</v>
      </c>
      <c r="S122" s="11" t="s">
        <v>559</v>
      </c>
      <c r="T122" s="12"/>
      <c r="U122" s="10" t="str">
        <f t="shared" si="24"/>
        <v>View</v>
      </c>
    </row>
    <row r="123" spans="1:21" ht="30.6">
      <c r="A123" s="6">
        <v>43441.959444444445</v>
      </c>
      <c r="B123" s="7" t="str">
        <f>HYPERLINK("https://twitter.com/TeresaColl1","@TeresaColl1")</f>
        <v>@TeresaColl1</v>
      </c>
      <c r="C123" s="8" t="s">
        <v>561</v>
      </c>
      <c r="D123" s="9" t="s">
        <v>562</v>
      </c>
      <c r="E123" s="10" t="str">
        <f>HYPERLINK("https://twitter.com/TeresaColl1/status/1071162837521842177","1071162837521842177")</f>
        <v>1071162837521842177</v>
      </c>
      <c r="F123" s="12"/>
      <c r="G123" s="12"/>
      <c r="H123" s="12"/>
      <c r="I123" s="13">
        <v>0</v>
      </c>
      <c r="J123" s="13">
        <v>0</v>
      </c>
      <c r="K123" s="14" t="str">
        <f>HYPERLINK("http://twitter.com/download/android","Twitter for Android")</f>
        <v>Twitter for Android</v>
      </c>
      <c r="L123" s="13">
        <v>4363</v>
      </c>
      <c r="M123" s="13">
        <v>4291</v>
      </c>
      <c r="N123" s="13">
        <v>36</v>
      </c>
      <c r="O123" s="15"/>
      <c r="P123" s="6">
        <v>41194.822488425925</v>
      </c>
      <c r="Q123" s="16" t="s">
        <v>563</v>
      </c>
      <c r="R123" s="17" t="s">
        <v>564</v>
      </c>
      <c r="S123" s="12"/>
      <c r="T123" s="12"/>
      <c r="U123" s="10" t="str">
        <f>HYPERLINK("https://pbs.twimg.com/profile_images/457537422218117120/Pa6k7rsP.png","View")</f>
        <v>View</v>
      </c>
    </row>
    <row r="124" spans="1:21" ht="20.399999999999999">
      <c r="A124" s="6">
        <v>43441.958333333328</v>
      </c>
      <c r="B124" s="7" t="str">
        <f>HYPERLINK("https://twitter.com/GaliciaMundiari","@GaliciaMundiari")</f>
        <v>@GaliciaMundiari</v>
      </c>
      <c r="C124" s="8" t="s">
        <v>565</v>
      </c>
      <c r="D124" s="9" t="s">
        <v>566</v>
      </c>
      <c r="E124" s="10" t="str">
        <f>HYPERLINK("https://twitter.com/GaliciaMundiari/status/1071162436554776577","1071162436554776577")</f>
        <v>1071162436554776577</v>
      </c>
      <c r="F124" s="11" t="s">
        <v>567</v>
      </c>
      <c r="G124" s="12"/>
      <c r="H124" s="12"/>
      <c r="I124" s="13">
        <v>0</v>
      </c>
      <c r="J124" s="13">
        <v>0</v>
      </c>
      <c r="K124" s="14" t="str">
        <f>HYPERLINK("https://about.twitter.com/products/tweetdeck","TweetDeck")</f>
        <v>TweetDeck</v>
      </c>
      <c r="L124" s="13">
        <v>731</v>
      </c>
      <c r="M124" s="13">
        <v>1487</v>
      </c>
      <c r="N124" s="13">
        <v>31</v>
      </c>
      <c r="O124" s="15"/>
      <c r="P124" s="6">
        <v>41311.572812500002</v>
      </c>
      <c r="Q124" s="16" t="s">
        <v>568</v>
      </c>
      <c r="R124" s="17" t="s">
        <v>569</v>
      </c>
      <c r="S124" s="11" t="s">
        <v>570</v>
      </c>
      <c r="T124" s="12"/>
      <c r="U124" s="10" t="str">
        <f>HYPERLINK("https://pbs.twimg.com/profile_images/983440522390929408/Q4V9I05R.jpg","View")</f>
        <v>View</v>
      </c>
    </row>
    <row r="125" spans="1:21" ht="20.399999999999999">
      <c r="A125" s="6">
        <v>43441.955636574072</v>
      </c>
      <c r="B125" s="7" t="str">
        <f>HYPERLINK("https://twitter.com/Fernand05033213","@Fernand05033213")</f>
        <v>@Fernand05033213</v>
      </c>
      <c r="C125" s="8" t="s">
        <v>571</v>
      </c>
      <c r="D125" s="9" t="s">
        <v>455</v>
      </c>
      <c r="E125" s="10" t="str">
        <f>HYPERLINK("https://twitter.com/Fernand05033213/status/1071161459890159616","1071161459890159616")</f>
        <v>1071161459890159616</v>
      </c>
      <c r="F125" s="11" t="s">
        <v>127</v>
      </c>
      <c r="G125" s="12"/>
      <c r="H125" s="12"/>
      <c r="I125" s="13">
        <v>0</v>
      </c>
      <c r="J125" s="13">
        <v>0</v>
      </c>
      <c r="K125" s="14" t="str">
        <f>HYPERLINK("http://twitter.com","Twitter Web Client")</f>
        <v>Twitter Web Client</v>
      </c>
      <c r="L125" s="13">
        <v>1181</v>
      </c>
      <c r="M125" s="13">
        <v>2389</v>
      </c>
      <c r="N125" s="13">
        <v>14</v>
      </c>
      <c r="O125" s="15"/>
      <c r="P125" s="6">
        <v>41214.886990740742</v>
      </c>
      <c r="Q125" s="16" t="s">
        <v>572</v>
      </c>
      <c r="R125" s="17" t="s">
        <v>573</v>
      </c>
      <c r="S125" s="12"/>
      <c r="T125" s="12"/>
      <c r="U125" s="10" t="str">
        <f>HYPERLINK("https://pbs.twimg.com/profile_images/859474526312202240/M9akj1eX.jpg","View")</f>
        <v>View</v>
      </c>
    </row>
    <row r="126" spans="1:21" ht="20.399999999999999">
      <c r="A126" s="6">
        <v>43441.955243055556</v>
      </c>
      <c r="B126" s="7" t="str">
        <f>HYPERLINK("https://twitter.com/vitoandolinidec","@vitoandolinidec")</f>
        <v>@vitoandolinidec</v>
      </c>
      <c r="C126" s="8" t="s">
        <v>574</v>
      </c>
      <c r="D126" s="9" t="s">
        <v>273</v>
      </c>
      <c r="E126" s="10" t="str">
        <f>HYPERLINK("https://twitter.com/vitoandolinidec/status/1071161315408994304","1071161315408994304")</f>
        <v>1071161315408994304</v>
      </c>
      <c r="F126" s="11" t="s">
        <v>144</v>
      </c>
      <c r="G126" s="12"/>
      <c r="H126" s="12"/>
      <c r="I126" s="13">
        <v>0</v>
      </c>
      <c r="J126" s="13">
        <v>0</v>
      </c>
      <c r="K126" s="14" t="str">
        <f>HYPERLINK("http://twitter.com/download/android","Twitter for Android")</f>
        <v>Twitter for Android</v>
      </c>
      <c r="L126" s="13">
        <v>104</v>
      </c>
      <c r="M126" s="13">
        <v>126</v>
      </c>
      <c r="N126" s="13">
        <v>3</v>
      </c>
      <c r="O126" s="15"/>
      <c r="P126" s="6">
        <v>40767.776446759257</v>
      </c>
      <c r="Q126" s="12"/>
      <c r="R126" s="20"/>
      <c r="S126" s="12"/>
      <c r="T126" s="12"/>
      <c r="U126" s="19" t="s">
        <v>359</v>
      </c>
    </row>
    <row r="127" spans="1:21" ht="20.399999999999999">
      <c r="A127" s="6">
        <v>43441.949548611112</v>
      </c>
      <c r="B127" s="7" t="str">
        <f>HYPERLINK("https://twitter.com/KALERGIPLAN3","@KALERGIPLAN3")</f>
        <v>@KALERGIPLAN3</v>
      </c>
      <c r="C127" s="8" t="s">
        <v>575</v>
      </c>
      <c r="D127" s="9" t="s">
        <v>576</v>
      </c>
      <c r="E127" s="10" t="str">
        <f>HYPERLINK("https://twitter.com/KALERGIPLAN3/status/1071159252390158342","1071159252390158342")</f>
        <v>1071159252390158342</v>
      </c>
      <c r="F127" s="11" t="s">
        <v>577</v>
      </c>
      <c r="G127" s="12"/>
      <c r="H127" s="12"/>
      <c r="I127" s="13">
        <v>0</v>
      </c>
      <c r="J127" s="13">
        <v>0</v>
      </c>
      <c r="K127" s="14" t="str">
        <f>HYPERLINK("http://twitter.com","Twitter Web Client")</f>
        <v>Twitter Web Client</v>
      </c>
      <c r="L127" s="13">
        <v>759</v>
      </c>
      <c r="M127" s="13">
        <v>1224</v>
      </c>
      <c r="N127" s="13">
        <v>4</v>
      </c>
      <c r="O127" s="15"/>
      <c r="P127" s="6">
        <v>43126.55405092593</v>
      </c>
      <c r="Q127" s="16" t="s">
        <v>578</v>
      </c>
      <c r="R127" s="17" t="s">
        <v>579</v>
      </c>
      <c r="S127" s="12"/>
      <c r="T127" s="12"/>
      <c r="U127" s="10" t="str">
        <f>HYPERLINK("https://pbs.twimg.com/profile_images/957285491707121664/UefjbD3b.jpg","View")</f>
        <v>View</v>
      </c>
    </row>
    <row r="128" spans="1:21" ht="20.399999999999999">
      <c r="A128" s="6">
        <v>43441.946863425925</v>
      </c>
      <c r="B128" s="7" t="str">
        <f>HYPERLINK("https://twitter.com/IngeniaPro","@IngeniaPro")</f>
        <v>@IngeniaPro</v>
      </c>
      <c r="C128" s="8" t="s">
        <v>580</v>
      </c>
      <c r="D128" s="9" t="s">
        <v>581</v>
      </c>
      <c r="E128" s="10" t="str">
        <f>HYPERLINK("https://twitter.com/IngeniaPro/status/1071158279647125504","1071158279647125504")</f>
        <v>1071158279647125504</v>
      </c>
      <c r="F128" s="11" t="s">
        <v>582</v>
      </c>
      <c r="G128" s="12"/>
      <c r="H128" s="12"/>
      <c r="I128" s="13">
        <v>0</v>
      </c>
      <c r="J128" s="13">
        <v>0</v>
      </c>
      <c r="K128" s="14" t="str">
        <f>HYPERLINK("https://www.google.com/","Google")</f>
        <v>Google</v>
      </c>
      <c r="L128" s="13">
        <v>748</v>
      </c>
      <c r="M128" s="13">
        <v>522</v>
      </c>
      <c r="N128" s="13">
        <v>9</v>
      </c>
      <c r="O128" s="15"/>
      <c r="P128" s="6">
        <v>40589.745844907404</v>
      </c>
      <c r="Q128" s="16" t="s">
        <v>583</v>
      </c>
      <c r="R128" s="17" t="s">
        <v>584</v>
      </c>
      <c r="S128" s="11" t="s">
        <v>585</v>
      </c>
      <c r="T128" s="12"/>
      <c r="U128" s="10" t="str">
        <f>HYPERLINK("https://pbs.twimg.com/profile_images/1009383088617676800/BmHqKRPL.jpg","View")</f>
        <v>View</v>
      </c>
    </row>
    <row r="129" spans="1:21" ht="20.399999999999999">
      <c r="A129" s="6">
        <v>43441.943668981483</v>
      </c>
      <c r="B129" s="7" t="str">
        <f>HYPERLINK("https://twitter.com/PepitaJ39978396","@PepitaJ39978396")</f>
        <v>@PepitaJ39978396</v>
      </c>
      <c r="C129" s="8" t="s">
        <v>586</v>
      </c>
      <c r="D129" s="9" t="s">
        <v>494</v>
      </c>
      <c r="E129" s="10" t="str">
        <f>HYPERLINK("https://twitter.com/PepitaJ39978396/status/1071157119725002752","1071157119725002752")</f>
        <v>1071157119725002752</v>
      </c>
      <c r="F129" s="11" t="s">
        <v>89</v>
      </c>
      <c r="G129" s="12"/>
      <c r="H129" s="12"/>
      <c r="I129" s="13">
        <v>0</v>
      </c>
      <c r="J129" s="13">
        <v>0</v>
      </c>
      <c r="K129" s="14" t="str">
        <f>HYPERLINK("http://twitter.com","Twitter Web Client")</f>
        <v>Twitter Web Client</v>
      </c>
      <c r="L129" s="13">
        <v>111</v>
      </c>
      <c r="M129" s="13">
        <v>122</v>
      </c>
      <c r="N129" s="13">
        <v>0</v>
      </c>
      <c r="O129" s="15"/>
      <c r="P129" s="6">
        <v>43120.943078703705</v>
      </c>
      <c r="Q129" s="16" t="s">
        <v>587</v>
      </c>
      <c r="R129" s="20"/>
      <c r="S129" s="12"/>
      <c r="T129" s="12"/>
      <c r="U129" s="10" t="str">
        <f>HYPERLINK("https://pbs.twimg.com/profile_images/1067909763600658432/jIH7578q.jpg","View")</f>
        <v>View</v>
      </c>
    </row>
    <row r="130" spans="1:21" ht="51">
      <c r="A130" s="6">
        <v>43441.942627314813</v>
      </c>
      <c r="B130" s="7" t="str">
        <f>HYPERLINK("https://twitter.com/mmmbango","@mmmbango")</f>
        <v>@mmmbango</v>
      </c>
      <c r="C130" s="8" t="s">
        <v>588</v>
      </c>
      <c r="D130" s="9" t="s">
        <v>589</v>
      </c>
      <c r="E130" s="10" t="str">
        <f>HYPERLINK("https://twitter.com/mmmbango/status/1071156742971637761","1071156742971637761")</f>
        <v>1071156742971637761</v>
      </c>
      <c r="F130" s="11" t="s">
        <v>590</v>
      </c>
      <c r="G130" s="12"/>
      <c r="H130" s="12"/>
      <c r="I130" s="13">
        <v>6</v>
      </c>
      <c r="J130" s="13">
        <v>8</v>
      </c>
      <c r="K130" s="14" t="str">
        <f t="shared" ref="K130:K131" si="25">HYPERLINK("http://twitter.com/download/android","Twitter for Android")</f>
        <v>Twitter for Android</v>
      </c>
      <c r="L130" s="13">
        <v>6691</v>
      </c>
      <c r="M130" s="13">
        <v>4488</v>
      </c>
      <c r="N130" s="13">
        <v>69</v>
      </c>
      <c r="O130" s="15"/>
      <c r="P130" s="6">
        <v>41521.720983796295</v>
      </c>
      <c r="Q130" s="16" t="s">
        <v>591</v>
      </c>
      <c r="R130" s="17" t="s">
        <v>592</v>
      </c>
      <c r="S130" s="11" t="s">
        <v>593</v>
      </c>
      <c r="T130" s="12"/>
      <c r="U130" s="10" t="str">
        <f>HYPERLINK("https://pbs.twimg.com/profile_images/855523465796964352/PuP44M-h.jpg","View")</f>
        <v>View</v>
      </c>
    </row>
    <row r="131" spans="1:21" ht="71.400000000000006">
      <c r="A131" s="6">
        <v>43441.931388888886</v>
      </c>
      <c r="B131" s="7" t="str">
        <f>HYPERLINK("https://twitter.com/Judyarr_","@Judyarr_")</f>
        <v>@Judyarr_</v>
      </c>
      <c r="C131" s="8" t="s">
        <v>594</v>
      </c>
      <c r="D131" s="9" t="s">
        <v>595</v>
      </c>
      <c r="E131" s="10" t="str">
        <f>HYPERLINK("https://twitter.com/Judyarr_/status/1071152672160530437","1071152672160530437")</f>
        <v>1071152672160530437</v>
      </c>
      <c r="F131" s="11" t="s">
        <v>596</v>
      </c>
      <c r="G131" s="11" t="s">
        <v>597</v>
      </c>
      <c r="H131" s="12"/>
      <c r="I131" s="13">
        <v>0</v>
      </c>
      <c r="J131" s="13">
        <v>0</v>
      </c>
      <c r="K131" s="14" t="str">
        <f t="shared" si="25"/>
        <v>Twitter for Android</v>
      </c>
      <c r="L131" s="13">
        <v>471</v>
      </c>
      <c r="M131" s="13">
        <v>1960</v>
      </c>
      <c r="N131" s="13">
        <v>5</v>
      </c>
      <c r="O131" s="15"/>
      <c r="P131" s="6">
        <v>41261.844594907408</v>
      </c>
      <c r="Q131" s="16" t="s">
        <v>598</v>
      </c>
      <c r="R131" s="17" t="s">
        <v>599</v>
      </c>
      <c r="S131" s="11" t="s">
        <v>600</v>
      </c>
      <c r="T131" s="12"/>
      <c r="U131" s="10" t="str">
        <f>HYPERLINK("https://pbs.twimg.com/profile_images/1030552004781895680/jx_mBknb.jpg","View")</f>
        <v>View</v>
      </c>
    </row>
    <row r="132" spans="1:21" ht="20.399999999999999">
      <c r="A132" s="6">
        <v>43441.928090277783</v>
      </c>
      <c r="B132" s="7" t="str">
        <f>HYPERLINK("https://twitter.com/LAREVUELO53","@LAREVUELO53")</f>
        <v>@LAREVUELO53</v>
      </c>
      <c r="C132" s="8" t="s">
        <v>601</v>
      </c>
      <c r="D132" s="9" t="s">
        <v>602</v>
      </c>
      <c r="E132" s="10" t="str">
        <f>HYPERLINK("https://twitter.com/LAREVUELO53/status/1071151477719253002","1071151477719253002")</f>
        <v>1071151477719253002</v>
      </c>
      <c r="F132" s="11" t="s">
        <v>603</v>
      </c>
      <c r="G132" s="12"/>
      <c r="H132" s="12"/>
      <c r="I132" s="13">
        <v>0</v>
      </c>
      <c r="J132" s="13">
        <v>0</v>
      </c>
      <c r="K132" s="14" t="str">
        <f>HYPERLINK("http://twitter.com","Twitter Web Client")</f>
        <v>Twitter Web Client</v>
      </c>
      <c r="L132" s="13">
        <v>415</v>
      </c>
      <c r="M132" s="13">
        <v>1519</v>
      </c>
      <c r="N132" s="13">
        <v>4</v>
      </c>
      <c r="O132" s="15"/>
      <c r="P132" s="6">
        <v>40681.9059375</v>
      </c>
      <c r="Q132" s="16" t="s">
        <v>604</v>
      </c>
      <c r="R132" s="20"/>
      <c r="S132" s="11" t="s">
        <v>605</v>
      </c>
      <c r="T132" s="12"/>
      <c r="U132" s="10" t="str">
        <f>HYPERLINK("https://pbs.twimg.com/profile_images/719705597436960769/UB_JVe0J.jpg","View")</f>
        <v>View</v>
      </c>
    </row>
    <row r="133" spans="1:21" ht="30.6">
      <c r="A133" s="6">
        <v>43441.925219907411</v>
      </c>
      <c r="B133" s="7" t="str">
        <f>HYPERLINK("https://twitter.com/Jacintoguti","@Jacintoguti")</f>
        <v>@Jacintoguti</v>
      </c>
      <c r="C133" s="8" t="s">
        <v>609</v>
      </c>
      <c r="D133" s="9" t="s">
        <v>610</v>
      </c>
      <c r="E133" s="10" t="str">
        <f>HYPERLINK("https://twitter.com/Jacintoguti/status/1071150436521009152","1071150436521009152")</f>
        <v>1071150436521009152</v>
      </c>
      <c r="F133" s="11" t="s">
        <v>127</v>
      </c>
      <c r="G133" s="12"/>
      <c r="H133" s="12"/>
      <c r="I133" s="13">
        <v>0</v>
      </c>
      <c r="J133" s="13">
        <v>0</v>
      </c>
      <c r="K133" s="14" t="str">
        <f>HYPERLINK("http://www.facebook.com/twitter","Facebook")</f>
        <v>Facebook</v>
      </c>
      <c r="L133" s="13">
        <v>867</v>
      </c>
      <c r="M133" s="13">
        <v>1326</v>
      </c>
      <c r="N133" s="13">
        <v>39</v>
      </c>
      <c r="O133" s="15"/>
      <c r="P133" s="6">
        <v>40543.387349537035</v>
      </c>
      <c r="Q133" s="16" t="s">
        <v>611</v>
      </c>
      <c r="R133" s="17" t="s">
        <v>612</v>
      </c>
      <c r="S133" s="11" t="s">
        <v>613</v>
      </c>
      <c r="T133" s="12"/>
      <c r="U133" s="10" t="str">
        <f>HYPERLINK("https://pbs.twimg.com/profile_images/2721355839/981429cb92febd3e6faf074f6589ca23.jpeg","View")</f>
        <v>View</v>
      </c>
    </row>
    <row r="134" spans="1:21" ht="30.6">
      <c r="A134" s="6">
        <v>43441.922129629631</v>
      </c>
      <c r="B134" s="7" t="str">
        <f>HYPERLINK("https://twitter.com/maria_mariht","@maria_mariht")</f>
        <v>@maria_mariht</v>
      </c>
      <c r="C134" s="8" t="s">
        <v>614</v>
      </c>
      <c r="D134" s="9" t="s">
        <v>455</v>
      </c>
      <c r="E134" s="10" t="str">
        <f>HYPERLINK("https://twitter.com/maria_mariht/status/1071149315324895233","1071149315324895233")</f>
        <v>1071149315324895233</v>
      </c>
      <c r="F134" s="11" t="s">
        <v>127</v>
      </c>
      <c r="G134" s="12"/>
      <c r="H134" s="12"/>
      <c r="I134" s="13">
        <v>0</v>
      </c>
      <c r="J134" s="13">
        <v>0</v>
      </c>
      <c r="K134" s="14" t="str">
        <f>HYPERLINK("http://twitter.com/download/android","Twitter for Android")</f>
        <v>Twitter for Android</v>
      </c>
      <c r="L134" s="13">
        <v>3970</v>
      </c>
      <c r="M134" s="13">
        <v>3965</v>
      </c>
      <c r="N134" s="13">
        <v>39</v>
      </c>
      <c r="O134" s="15"/>
      <c r="P134" s="6">
        <v>41635.011655092589</v>
      </c>
      <c r="Q134" s="12"/>
      <c r="R134" s="17" t="s">
        <v>615</v>
      </c>
      <c r="S134" s="12"/>
      <c r="T134" s="12"/>
      <c r="U134" s="10" t="str">
        <f>HYPERLINK("https://pbs.twimg.com/profile_images/1071101371343097857/v2x87iQ-.jpg","View")</f>
        <v>View</v>
      </c>
    </row>
    <row r="135" spans="1:21" ht="30.6">
      <c r="A135" s="6">
        <v>43441.920775462961</v>
      </c>
      <c r="B135" s="7" t="str">
        <f>HYPERLINK("https://twitter.com/ThePortadaNews","@ThePortadaNews")</f>
        <v>@ThePortadaNews</v>
      </c>
      <c r="C135" s="8" t="s">
        <v>616</v>
      </c>
      <c r="D135" s="9" t="s">
        <v>421</v>
      </c>
      <c r="E135" s="10" t="str">
        <f>HYPERLINK("https://twitter.com/ThePortadaNews/status/1071148824641617920","1071148824641617920")</f>
        <v>1071148824641617920</v>
      </c>
      <c r="F135" s="11" t="s">
        <v>422</v>
      </c>
      <c r="G135" s="12"/>
      <c r="H135" s="12"/>
      <c r="I135" s="13">
        <v>0</v>
      </c>
      <c r="J135" s="13">
        <v>0</v>
      </c>
      <c r="K135" s="14" t="str">
        <f t="shared" ref="K135:K136" si="26">HYPERLINK("http://twitter.com","Twitter Web Client")</f>
        <v>Twitter Web Client</v>
      </c>
      <c r="L135" s="13">
        <v>1128</v>
      </c>
      <c r="M135" s="13">
        <v>926</v>
      </c>
      <c r="N135" s="13">
        <v>16</v>
      </c>
      <c r="O135" s="15"/>
      <c r="P135" s="6">
        <v>42550.813877314809</v>
      </c>
      <c r="Q135" s="16" t="s">
        <v>48</v>
      </c>
      <c r="R135" s="17" t="s">
        <v>617</v>
      </c>
      <c r="S135" s="11" t="s">
        <v>618</v>
      </c>
      <c r="T135" s="12"/>
      <c r="U135" s="10" t="str">
        <f>HYPERLINK("https://pbs.twimg.com/profile_images/748207540194902017/Rdh4TK6G.jpg","View")</f>
        <v>View</v>
      </c>
    </row>
    <row r="136" spans="1:21" ht="40.799999999999997">
      <c r="A136" s="6">
        <v>43441.915231481486</v>
      </c>
      <c r="B136" s="7" t="str">
        <f>HYPERLINK("https://twitter.com/Javimorales17","@Javimorales17")</f>
        <v>@Javimorales17</v>
      </c>
      <c r="C136" s="8" t="s">
        <v>619</v>
      </c>
      <c r="D136" s="9" t="s">
        <v>620</v>
      </c>
      <c r="E136" s="10" t="str">
        <f>HYPERLINK("https://twitter.com/Javimorales17/status/1071146813934190592","1071146813934190592")</f>
        <v>1071146813934190592</v>
      </c>
      <c r="F136" s="11" t="s">
        <v>621</v>
      </c>
      <c r="G136" s="12"/>
      <c r="H136" s="12"/>
      <c r="I136" s="13">
        <v>0</v>
      </c>
      <c r="J136" s="13">
        <v>0</v>
      </c>
      <c r="K136" s="14" t="str">
        <f t="shared" si="26"/>
        <v>Twitter Web Client</v>
      </c>
      <c r="L136" s="13">
        <v>178</v>
      </c>
      <c r="M136" s="13">
        <v>257</v>
      </c>
      <c r="N136" s="13">
        <v>12</v>
      </c>
      <c r="O136" s="15"/>
      <c r="P136" s="6">
        <v>41108.951504629629</v>
      </c>
      <c r="Q136" s="12"/>
      <c r="R136" s="20"/>
      <c r="S136" s="12"/>
      <c r="T136" s="12"/>
      <c r="U136" s="10" t="str">
        <f>HYPERLINK("https://pbs.twimg.com/profile_images/3370064479/73ce8bce653c54e9eee8aa142c5366b0.png","View")</f>
        <v>View</v>
      </c>
    </row>
    <row r="137" spans="1:21" ht="40.799999999999997">
      <c r="A137" s="6">
        <v>43441.903414351851</v>
      </c>
      <c r="B137" s="7" t="str">
        <f>HYPERLINK("https://twitter.com/BromiusBCN","@BromiusBCN")</f>
        <v>@BromiusBCN</v>
      </c>
      <c r="C137" s="8" t="s">
        <v>622</v>
      </c>
      <c r="D137" s="9" t="s">
        <v>623</v>
      </c>
      <c r="E137" s="10" t="str">
        <f>HYPERLINK("https://twitter.com/BromiusBCN/status/1071142534972407810","1071142534972407810")</f>
        <v>1071142534972407810</v>
      </c>
      <c r="F137" s="11" t="s">
        <v>624</v>
      </c>
      <c r="G137" s="12"/>
      <c r="H137" s="12"/>
      <c r="I137" s="13">
        <v>15</v>
      </c>
      <c r="J137" s="13">
        <v>19</v>
      </c>
      <c r="K137" s="14" t="str">
        <f>HYPERLINK("http://twitter.com/download/android","Twitter for Android")</f>
        <v>Twitter for Android</v>
      </c>
      <c r="L137" s="13">
        <v>1875</v>
      </c>
      <c r="M137" s="13">
        <v>879</v>
      </c>
      <c r="N137" s="13">
        <v>6</v>
      </c>
      <c r="O137" s="15"/>
      <c r="P137" s="6">
        <v>43098.393541666665</v>
      </c>
      <c r="Q137" s="16" t="s">
        <v>625</v>
      </c>
      <c r="R137" s="17" t="s">
        <v>626</v>
      </c>
      <c r="S137" s="11" t="s">
        <v>627</v>
      </c>
      <c r="T137" s="12"/>
      <c r="U137" s="10" t="str">
        <f>HYPERLINK("https://pbs.twimg.com/profile_images/1053535046399868928/5zG4nRdC.jpg","View")</f>
        <v>View</v>
      </c>
    </row>
    <row r="138" spans="1:21" ht="30.6">
      <c r="A138" s="6">
        <v>43441.89743055556</v>
      </c>
      <c r="B138" s="7" t="str">
        <f>HYPERLINK("https://twitter.com/ampl48","@ampl48")</f>
        <v>@ampl48</v>
      </c>
      <c r="C138" s="8" t="s">
        <v>628</v>
      </c>
      <c r="D138" s="9" t="s">
        <v>143</v>
      </c>
      <c r="E138" s="10" t="str">
        <f>HYPERLINK("https://twitter.com/ampl48/status/1071140364344590338","1071140364344590338")</f>
        <v>1071140364344590338</v>
      </c>
      <c r="F138" s="11" t="s">
        <v>144</v>
      </c>
      <c r="G138" s="12"/>
      <c r="H138" s="12"/>
      <c r="I138" s="13">
        <v>0</v>
      </c>
      <c r="J138" s="13">
        <v>0</v>
      </c>
      <c r="K138" s="14" t="str">
        <f>HYPERLINK("http://twitter.com","Twitter Web Client")</f>
        <v>Twitter Web Client</v>
      </c>
      <c r="L138" s="13">
        <v>1366</v>
      </c>
      <c r="M138" s="13">
        <v>2169</v>
      </c>
      <c r="N138" s="13">
        <v>52</v>
      </c>
      <c r="O138" s="15"/>
      <c r="P138" s="6">
        <v>40814.612280092595</v>
      </c>
      <c r="Q138" s="16" t="s">
        <v>209</v>
      </c>
      <c r="R138" s="17" t="s">
        <v>629</v>
      </c>
      <c r="S138" s="12"/>
      <c r="T138" s="12"/>
      <c r="U138" s="10" t="str">
        <f>HYPERLINK("https://pbs.twimg.com/profile_images/663500601351892993/p91GeEcT.jpg","View")</f>
        <v>View</v>
      </c>
    </row>
    <row r="139" spans="1:21" ht="61.2">
      <c r="A139" s="6">
        <v>43441.897372685184</v>
      </c>
      <c r="B139" s="7" t="str">
        <f>HYPERLINK("https://twitter.com/JC_C_A","@JC_C_A")</f>
        <v>@JC_C_A</v>
      </c>
      <c r="C139" s="8" t="s">
        <v>630</v>
      </c>
      <c r="D139" s="9" t="s">
        <v>631</v>
      </c>
      <c r="E139" s="10" t="str">
        <f>HYPERLINK("https://twitter.com/JC_C_A/status/1071140342446112769","1071140342446112769")</f>
        <v>1071140342446112769</v>
      </c>
      <c r="F139" s="12"/>
      <c r="G139" s="12"/>
      <c r="H139" s="12"/>
      <c r="I139" s="13">
        <v>1</v>
      </c>
      <c r="J139" s="13">
        <v>2</v>
      </c>
      <c r="K139" s="14" t="str">
        <f t="shared" ref="K139:K140" si="27">HYPERLINK("http://twitter.com/download/android","Twitter for Android")</f>
        <v>Twitter for Android</v>
      </c>
      <c r="L139" s="13">
        <v>1535</v>
      </c>
      <c r="M139" s="13">
        <v>1285</v>
      </c>
      <c r="N139" s="13">
        <v>4</v>
      </c>
      <c r="O139" s="15"/>
      <c r="P139" s="6">
        <v>43055.93885416667</v>
      </c>
      <c r="Q139" s="16" t="s">
        <v>632</v>
      </c>
      <c r="R139" s="17" t="s">
        <v>633</v>
      </c>
      <c r="S139" s="12"/>
      <c r="T139" s="12"/>
      <c r="U139" s="10" t="str">
        <f>HYPERLINK("https://pbs.twimg.com/profile_images/1029775179520647169/gj_YgLkP.jpg","View")</f>
        <v>View</v>
      </c>
    </row>
    <row r="140" spans="1:21" ht="20.399999999999999">
      <c r="A140" s="6">
        <v>43441.894236111111</v>
      </c>
      <c r="B140" s="7" t="str">
        <f>HYPERLINK("https://twitter.com/miguelguerrer17","@miguelguerrer17")</f>
        <v>@miguelguerrer17</v>
      </c>
      <c r="C140" s="8" t="s">
        <v>634</v>
      </c>
      <c r="D140" s="9" t="s">
        <v>273</v>
      </c>
      <c r="E140" s="10" t="str">
        <f>HYPERLINK("https://twitter.com/miguelguerrer17/status/1071139208281186304","1071139208281186304")</f>
        <v>1071139208281186304</v>
      </c>
      <c r="F140" s="11" t="s">
        <v>144</v>
      </c>
      <c r="G140" s="12"/>
      <c r="H140" s="12"/>
      <c r="I140" s="13">
        <v>0</v>
      </c>
      <c r="J140" s="13">
        <v>0</v>
      </c>
      <c r="K140" s="14" t="str">
        <f t="shared" si="27"/>
        <v>Twitter for Android</v>
      </c>
      <c r="L140" s="13">
        <v>1135</v>
      </c>
      <c r="M140" s="13">
        <v>860</v>
      </c>
      <c r="N140" s="13">
        <v>15</v>
      </c>
      <c r="O140" s="15"/>
      <c r="P140" s="6">
        <v>40723.861678240741</v>
      </c>
      <c r="Q140" s="16" t="s">
        <v>635</v>
      </c>
      <c r="R140" s="17" t="s">
        <v>636</v>
      </c>
      <c r="S140" s="12"/>
      <c r="T140" s="12"/>
      <c r="U140" s="10" t="str">
        <f>HYPERLINK("https://pbs.twimg.com/profile_images/2296680408/xo2a0vildn2kpgw3veyh.jpeg","View")</f>
        <v>View</v>
      </c>
    </row>
    <row r="141" spans="1:21" ht="30.6">
      <c r="A141" s="6">
        <v>43441.889675925922</v>
      </c>
      <c r="B141" s="7" t="str">
        <f>HYPERLINK("https://twitter.com/jesuspedreira","@jesuspedreira")</f>
        <v>@jesuspedreira</v>
      </c>
      <c r="C141" s="8" t="s">
        <v>637</v>
      </c>
      <c r="D141" s="9" t="s">
        <v>638</v>
      </c>
      <c r="E141" s="10" t="str">
        <f>HYPERLINK("https://twitter.com/jesuspedreira/status/1071137555880558593","1071137555880558593")</f>
        <v>1071137555880558593</v>
      </c>
      <c r="F141" s="11" t="s">
        <v>144</v>
      </c>
      <c r="G141" s="12"/>
      <c r="H141" s="12"/>
      <c r="I141" s="13">
        <v>0</v>
      </c>
      <c r="J141" s="13">
        <v>0</v>
      </c>
      <c r="K141" s="14" t="str">
        <f>HYPERLINK("http://twitter.com/download/iphone","Twitter for iPhone")</f>
        <v>Twitter for iPhone</v>
      </c>
      <c r="L141" s="13">
        <v>1514</v>
      </c>
      <c r="M141" s="13">
        <v>2473</v>
      </c>
      <c r="N141" s="13">
        <v>38</v>
      </c>
      <c r="O141" s="15"/>
      <c r="P141" s="6">
        <v>40628.702615740738</v>
      </c>
      <c r="Q141" s="16" t="s">
        <v>639</v>
      </c>
      <c r="R141" s="20"/>
      <c r="S141" s="12"/>
      <c r="T141" s="12"/>
      <c r="U141" s="10" t="str">
        <f>HYPERLINK("https://pbs.twimg.com/profile_images/937409011586134016/bh9BxM24.jpg","View")</f>
        <v>View</v>
      </c>
    </row>
    <row r="142" spans="1:21" ht="40.799999999999997">
      <c r="A142" s="6">
        <v>43441.889328703706</v>
      </c>
      <c r="B142" s="7" t="str">
        <f>HYPERLINK("https://twitter.com/AmapolaVelez","@AmapolaVelez")</f>
        <v>@AmapolaVelez</v>
      </c>
      <c r="C142" s="8" t="s">
        <v>640</v>
      </c>
      <c r="D142" s="9" t="s">
        <v>641</v>
      </c>
      <c r="E142" s="10" t="str">
        <f>HYPERLINK("https://twitter.com/AmapolaVelez/status/1071137427924889600","1071137427924889600")</f>
        <v>1071137427924889600</v>
      </c>
      <c r="F142" s="12"/>
      <c r="G142" s="12"/>
      <c r="H142" s="12"/>
      <c r="I142" s="13">
        <v>0</v>
      </c>
      <c r="J142" s="13">
        <v>2</v>
      </c>
      <c r="K142" s="14" t="str">
        <f>HYPERLINK("https://mobile.twitter.com","Twitter Lite")</f>
        <v>Twitter Lite</v>
      </c>
      <c r="L142" s="13">
        <v>488</v>
      </c>
      <c r="M142" s="13">
        <v>376</v>
      </c>
      <c r="N142" s="13">
        <v>6</v>
      </c>
      <c r="O142" s="15"/>
      <c r="P142" s="6">
        <v>42418.50167824074</v>
      </c>
      <c r="Q142" s="16" t="s">
        <v>48</v>
      </c>
      <c r="R142" s="17" t="s">
        <v>642</v>
      </c>
      <c r="S142" s="12"/>
      <c r="T142" s="12"/>
      <c r="U142" s="10" t="str">
        <f>HYPERLINK("https://pbs.twimg.com/profile_images/900563043339436036/hluEV44R.jpg","View")</f>
        <v>View</v>
      </c>
    </row>
    <row r="143" spans="1:21" ht="20.399999999999999">
      <c r="A143" s="6">
        <v>43441.885578703703</v>
      </c>
      <c r="B143" s="7" t="str">
        <f>HYPERLINK("https://twitter.com/andoniiturraspe","@andoniiturraspe")</f>
        <v>@andoniiturraspe</v>
      </c>
      <c r="C143" s="8" t="s">
        <v>643</v>
      </c>
      <c r="D143" s="9" t="s">
        <v>644</v>
      </c>
      <c r="E143" s="10" t="str">
        <f>HYPERLINK("https://twitter.com/andoniiturraspe/status/1071136070031605761","1071136070031605761")</f>
        <v>1071136070031605761</v>
      </c>
      <c r="F143" s="12"/>
      <c r="G143" s="12"/>
      <c r="H143" s="12"/>
      <c r="I143" s="13">
        <v>0</v>
      </c>
      <c r="J143" s="13">
        <v>0</v>
      </c>
      <c r="K143" s="14" t="str">
        <f>HYPERLINK("http://twitter.com/download/android","Twitter for Android")</f>
        <v>Twitter for Android</v>
      </c>
      <c r="L143" s="13">
        <v>209</v>
      </c>
      <c r="M143" s="13">
        <v>580</v>
      </c>
      <c r="N143" s="13">
        <v>0</v>
      </c>
      <c r="O143" s="15"/>
      <c r="P143" s="6">
        <v>40864.002708333333</v>
      </c>
      <c r="Q143" s="12"/>
      <c r="R143" s="17" t="s">
        <v>645</v>
      </c>
      <c r="S143" s="12"/>
      <c r="T143" s="12"/>
      <c r="U143" s="10" t="str">
        <f>HYPERLINK("https://pbs.twimg.com/profile_images/903033034617839616/KRw1nQR0.jpg","View")</f>
        <v>View</v>
      </c>
    </row>
    <row r="144" spans="1:21" ht="30.6">
      <c r="A144" s="6">
        <v>43441.884988425925</v>
      </c>
      <c r="B144" s="7" t="str">
        <f>HYPERLINK("https://twitter.com/AtheneanVenture","@AtheneanVenture")</f>
        <v>@AtheneanVenture</v>
      </c>
      <c r="C144" s="8" t="s">
        <v>646</v>
      </c>
      <c r="D144" s="9" t="s">
        <v>647</v>
      </c>
      <c r="E144" s="10" t="str">
        <f>HYPERLINK("https://twitter.com/AtheneanVenture/status/1071135856407269378","1071135856407269378")</f>
        <v>1071135856407269378</v>
      </c>
      <c r="F144" s="16" t="s">
        <v>648</v>
      </c>
      <c r="G144" s="12"/>
      <c r="H144" s="12"/>
      <c r="I144" s="13">
        <v>0</v>
      </c>
      <c r="J144" s="13">
        <v>0</v>
      </c>
      <c r="K144" s="14" t="str">
        <f>HYPERLINK("http://nuzzel.com/","Nuzzel")</f>
        <v>Nuzzel</v>
      </c>
      <c r="L144" s="13">
        <v>541</v>
      </c>
      <c r="M144" s="13">
        <v>723</v>
      </c>
      <c r="N144" s="13">
        <v>17</v>
      </c>
      <c r="O144" s="15"/>
      <c r="P144" s="6">
        <v>40843.943506944444</v>
      </c>
      <c r="Q144" s="16" t="s">
        <v>650</v>
      </c>
      <c r="R144" s="17" t="s">
        <v>651</v>
      </c>
      <c r="S144" s="11" t="s">
        <v>652</v>
      </c>
      <c r="T144" s="12"/>
      <c r="U144" s="10" t="str">
        <f>HYPERLINK("https://pbs.twimg.com/profile_images/849589266745372672/o8KgjynA.jpg","View")</f>
        <v>View</v>
      </c>
    </row>
    <row r="145" spans="1:21" ht="20.399999999999999">
      <c r="A145" s="6">
        <v>43441.882604166662</v>
      </c>
      <c r="B145" s="7" t="str">
        <f>HYPERLINK("https://twitter.com/ZambullO","@ZambullO")</f>
        <v>@ZambullO</v>
      </c>
      <c r="C145" s="8" t="s">
        <v>653</v>
      </c>
      <c r="D145" s="9" t="s">
        <v>654</v>
      </c>
      <c r="E145" s="10" t="str">
        <f>HYPERLINK("https://twitter.com/ZambullO/status/1071134993940967427","1071134993940967427")</f>
        <v>1071134993940967427</v>
      </c>
      <c r="F145" s="12"/>
      <c r="G145" s="12"/>
      <c r="H145" s="12"/>
      <c r="I145" s="13">
        <v>0</v>
      </c>
      <c r="J145" s="13">
        <v>1</v>
      </c>
      <c r="K145" s="14" t="str">
        <f>HYPERLINK("http://twitter.com/download/android","Twitter for Android")</f>
        <v>Twitter for Android</v>
      </c>
      <c r="L145" s="13">
        <v>82</v>
      </c>
      <c r="M145" s="13">
        <v>105</v>
      </c>
      <c r="N145" s="13">
        <v>0</v>
      </c>
      <c r="O145" s="15"/>
      <c r="P145" s="6">
        <v>40572.977708333332</v>
      </c>
      <c r="Q145" s="16" t="s">
        <v>658</v>
      </c>
      <c r="R145" s="17" t="s">
        <v>659</v>
      </c>
      <c r="S145" s="12"/>
      <c r="T145" s="12"/>
      <c r="U145" s="10" t="str">
        <f>HYPERLINK("https://pbs.twimg.com/profile_images/1555065901/reto_primer.png","View")</f>
        <v>View</v>
      </c>
    </row>
    <row r="146" spans="1:21" ht="40.799999999999997">
      <c r="A146" s="6">
        <v>43441.876759259263</v>
      </c>
      <c r="B146" s="7" t="str">
        <f>HYPERLINK("https://twitter.com/PepeGarciaPer","@PepeGarciaPer")</f>
        <v>@PepeGarciaPer</v>
      </c>
      <c r="C146" s="8" t="s">
        <v>660</v>
      </c>
      <c r="D146" s="9" t="s">
        <v>661</v>
      </c>
      <c r="E146" s="10" t="str">
        <f>HYPERLINK("https://twitter.com/PepeGarciaPer/status/1071132873657331712","1071132873657331712")</f>
        <v>1071132873657331712</v>
      </c>
      <c r="F146" s="11" t="s">
        <v>144</v>
      </c>
      <c r="G146" s="12"/>
      <c r="H146" s="12"/>
      <c r="I146" s="13">
        <v>2</v>
      </c>
      <c r="J146" s="13">
        <v>3</v>
      </c>
      <c r="K146" s="14" t="str">
        <f>HYPERLINK("http://twitter.com","Twitter Web Client")</f>
        <v>Twitter Web Client</v>
      </c>
      <c r="L146" s="13">
        <v>3114</v>
      </c>
      <c r="M146" s="13">
        <v>2552</v>
      </c>
      <c r="N146" s="13">
        <v>26</v>
      </c>
      <c r="O146" s="15"/>
      <c r="P146" s="6">
        <v>41067.917546296296</v>
      </c>
      <c r="Q146" s="16" t="s">
        <v>662</v>
      </c>
      <c r="R146" s="17" t="s">
        <v>663</v>
      </c>
      <c r="S146" s="12"/>
      <c r="T146" s="12"/>
      <c r="U146" s="10" t="str">
        <f>HYPERLINK("https://pbs.twimg.com/profile_images/2779989453/f11a42a4fc687ff1349d4969e049875a.jpeg","View")</f>
        <v>View</v>
      </c>
    </row>
    <row r="147" spans="1:21" ht="40.799999999999997">
      <c r="A147" s="6">
        <v>43441.87501157407</v>
      </c>
      <c r="B147" s="7" t="str">
        <f>HYPERLINK("https://twitter.com/El_Plural","@El_Plural")</f>
        <v>@El_Plural</v>
      </c>
      <c r="C147" s="8" t="s">
        <v>507</v>
      </c>
      <c r="D147" s="9" t="s">
        <v>664</v>
      </c>
      <c r="E147" s="10" t="str">
        <f>HYPERLINK("https://twitter.com/El_Plural/status/1071132241315606528","1071132241315606528")</f>
        <v>1071132241315606528</v>
      </c>
      <c r="F147" s="11" t="s">
        <v>665</v>
      </c>
      <c r="G147" s="12"/>
      <c r="H147" s="12"/>
      <c r="I147" s="13">
        <v>4</v>
      </c>
      <c r="J147" s="13">
        <v>2</v>
      </c>
      <c r="K147" s="14" t="str">
        <f>HYPERLINK("https://about.twitter.com/products/tweetdeck","TweetDeck")</f>
        <v>TweetDeck</v>
      </c>
      <c r="L147" s="13">
        <v>72031</v>
      </c>
      <c r="M147" s="13">
        <v>1650</v>
      </c>
      <c r="N147" s="13">
        <v>2018</v>
      </c>
      <c r="O147" s="15"/>
      <c r="P147" s="6">
        <v>40351.51053240741</v>
      </c>
      <c r="Q147" s="16" t="s">
        <v>48</v>
      </c>
      <c r="R147" s="17" t="s">
        <v>510</v>
      </c>
      <c r="S147" s="11" t="s">
        <v>511</v>
      </c>
      <c r="T147" s="12"/>
      <c r="U147" s="10" t="str">
        <f>HYPERLINK("https://pbs.twimg.com/profile_images/1017707018138857473/kUt8X2tn.jpg","View")</f>
        <v>View</v>
      </c>
    </row>
    <row r="148" spans="1:21" ht="20.399999999999999">
      <c r="A148" s="6">
        <v>43441.870937500003</v>
      </c>
      <c r="B148" s="7" t="str">
        <f>HYPERLINK("https://twitter.com/chillanchat","@chillanchat")</f>
        <v>@chillanchat</v>
      </c>
      <c r="C148" s="8" t="s">
        <v>666</v>
      </c>
      <c r="D148" s="9" t="s">
        <v>494</v>
      </c>
      <c r="E148" s="10" t="str">
        <f>HYPERLINK("https://twitter.com/chillanchat/status/1071130763838582787","1071130763838582787")</f>
        <v>1071130763838582787</v>
      </c>
      <c r="F148" s="11" t="s">
        <v>89</v>
      </c>
      <c r="G148" s="12"/>
      <c r="H148" s="12"/>
      <c r="I148" s="13">
        <v>0</v>
      </c>
      <c r="J148" s="13">
        <v>1</v>
      </c>
      <c r="K148" s="14" t="str">
        <f>HYPERLINK("http://twitter.com","Twitter Web Client")</f>
        <v>Twitter Web Client</v>
      </c>
      <c r="L148" s="13">
        <v>0</v>
      </c>
      <c r="M148" s="13">
        <v>1</v>
      </c>
      <c r="N148" s="13">
        <v>0</v>
      </c>
      <c r="O148" s="15"/>
      <c r="P148" s="6">
        <v>40637.374247685184</v>
      </c>
      <c r="Q148" s="16" t="s">
        <v>203</v>
      </c>
      <c r="R148" s="20"/>
      <c r="S148" s="12"/>
      <c r="T148" s="12"/>
      <c r="U148" s="10" t="str">
        <f>HYPERLINK("https://pbs.twimg.com/profile_images/959748333320527874/xiXoflG7.jpg","View")</f>
        <v>View</v>
      </c>
    </row>
    <row r="149" spans="1:21" ht="40.799999999999997">
      <c r="A149" s="6">
        <v>43441.855358796296</v>
      </c>
      <c r="B149" s="7" t="str">
        <f>HYPERLINK("https://twitter.com/SciFiRino","@SciFiRino")</f>
        <v>@SciFiRino</v>
      </c>
      <c r="C149" s="8" t="s">
        <v>667</v>
      </c>
      <c r="D149" s="9" t="s">
        <v>668</v>
      </c>
      <c r="E149" s="10" t="str">
        <f>HYPERLINK("https://twitter.com/SciFiRino/status/1071125117382680576","1071125117382680576")</f>
        <v>1071125117382680576</v>
      </c>
      <c r="F149" s="16" t="s">
        <v>669</v>
      </c>
      <c r="G149" s="12"/>
      <c r="H149" s="12"/>
      <c r="I149" s="13">
        <v>0</v>
      </c>
      <c r="J149" s="13">
        <v>0</v>
      </c>
      <c r="K149" s="14" t="str">
        <f>HYPERLINK("http://twitter.com/download/android","Twitter for Android")</f>
        <v>Twitter for Android</v>
      </c>
      <c r="L149" s="13">
        <v>356</v>
      </c>
      <c r="M149" s="13">
        <v>812</v>
      </c>
      <c r="N149" s="13">
        <v>22</v>
      </c>
      <c r="O149" s="15"/>
      <c r="P149" s="6">
        <v>40208.716921296298</v>
      </c>
      <c r="Q149" s="16" t="s">
        <v>670</v>
      </c>
      <c r="R149" s="17" t="s">
        <v>671</v>
      </c>
      <c r="S149" s="11" t="s">
        <v>672</v>
      </c>
      <c r="T149" s="12"/>
      <c r="U149" s="10" t="str">
        <f>HYPERLINK("https://pbs.twimg.com/profile_images/1008817498001756160/Oe7ZJ3IK.jpg","View")</f>
        <v>View</v>
      </c>
    </row>
    <row r="150" spans="1:21" ht="51">
      <c r="A150" s="6">
        <v>43441.852881944447</v>
      </c>
      <c r="B150" s="7" t="str">
        <f>HYPERLINK("https://twitter.com/txema_joseba","@txema_joseba")</f>
        <v>@txema_joseba</v>
      </c>
      <c r="C150" s="8" t="s">
        <v>673</v>
      </c>
      <c r="D150" s="9" t="s">
        <v>674</v>
      </c>
      <c r="E150" s="10" t="str">
        <f>HYPERLINK("https://twitter.com/txema_joseba/status/1071124221563150336","1071124221563150336")</f>
        <v>1071124221563150336</v>
      </c>
      <c r="F150" s="11" t="s">
        <v>665</v>
      </c>
      <c r="G150" s="12"/>
      <c r="H150" s="12"/>
      <c r="I150" s="13">
        <v>0</v>
      </c>
      <c r="J150" s="13">
        <v>0</v>
      </c>
      <c r="K150" s="14" t="str">
        <f>HYPERLINK("http://twitter.com","Twitter Web Client")</f>
        <v>Twitter Web Client</v>
      </c>
      <c r="L150" s="13">
        <v>6679</v>
      </c>
      <c r="M150" s="13">
        <v>6931</v>
      </c>
      <c r="N150" s="13">
        <v>34</v>
      </c>
      <c r="O150" s="15"/>
      <c r="P150" s="6">
        <v>41208.802557870367</v>
      </c>
      <c r="Q150" s="12"/>
      <c r="R150" s="17" t="s">
        <v>675</v>
      </c>
      <c r="S150" s="12"/>
      <c r="T150" s="12"/>
      <c r="U150" s="10" t="str">
        <f>HYPERLINK("https://pbs.twimg.com/profile_images/2767677804/c94fd40d597056fa95d9d81e81e8de38.jpeg","View")</f>
        <v>View</v>
      </c>
    </row>
    <row r="151" spans="1:21" ht="51">
      <c r="A151" s="6">
        <v>43441.851643518516</v>
      </c>
      <c r="B151" s="7" t="str">
        <f>HYPERLINK("https://twitter.com/merianmi","@merianmi")</f>
        <v>@merianmi</v>
      </c>
      <c r="C151" s="8" t="s">
        <v>676</v>
      </c>
      <c r="D151" s="9" t="s">
        <v>677</v>
      </c>
      <c r="E151" s="10" t="str">
        <f>HYPERLINK("https://twitter.com/merianmi/status/1071123771061342208","1071123771061342208")</f>
        <v>1071123771061342208</v>
      </c>
      <c r="F151" s="11" t="s">
        <v>678</v>
      </c>
      <c r="G151" s="12"/>
      <c r="H151" s="12"/>
      <c r="I151" s="13">
        <v>0</v>
      </c>
      <c r="J151" s="13">
        <v>0</v>
      </c>
      <c r="K151" s="14" t="str">
        <f>HYPERLINK("http://www.facebook.com/twitter","Facebook")</f>
        <v>Facebook</v>
      </c>
      <c r="L151" s="13">
        <v>1032</v>
      </c>
      <c r="M151" s="13">
        <v>1920</v>
      </c>
      <c r="N151" s="13">
        <v>24</v>
      </c>
      <c r="O151" s="15"/>
      <c r="P151" s="6">
        <v>40169.857233796298</v>
      </c>
      <c r="Q151" s="16" t="s">
        <v>679</v>
      </c>
      <c r="R151" s="17" t="s">
        <v>680</v>
      </c>
      <c r="S151" s="11" t="s">
        <v>681</v>
      </c>
      <c r="T151" s="12"/>
      <c r="U151" s="10" t="str">
        <f>HYPERLINK("https://pbs.twimg.com/profile_images/854401811830251521/dIYzgtDT.jpg","View")</f>
        <v>View</v>
      </c>
    </row>
    <row r="152" spans="1:21" ht="40.799999999999997">
      <c r="A152" s="6">
        <v>43441.849826388891</v>
      </c>
      <c r="B152" s="7" t="str">
        <f>HYPERLINK("https://twitter.com/Malcor01","@Malcor01")</f>
        <v>@Malcor01</v>
      </c>
      <c r="C152" s="8" t="s">
        <v>682</v>
      </c>
      <c r="D152" s="9" t="s">
        <v>683</v>
      </c>
      <c r="E152" s="10" t="str">
        <f>HYPERLINK("https://twitter.com/Malcor01/status/1071123115365810178","1071123115365810178")</f>
        <v>1071123115365810178</v>
      </c>
      <c r="F152" s="12"/>
      <c r="G152" s="12"/>
      <c r="H152" s="12"/>
      <c r="I152" s="13">
        <v>7</v>
      </c>
      <c r="J152" s="13">
        <v>27</v>
      </c>
      <c r="K152" s="14" t="str">
        <f>HYPERLINK("http://twitter.com/download/android","Twitter for Android")</f>
        <v>Twitter for Android</v>
      </c>
      <c r="L152" s="13">
        <v>1330</v>
      </c>
      <c r="M152" s="13">
        <v>861</v>
      </c>
      <c r="N152" s="13">
        <v>2</v>
      </c>
      <c r="O152" s="15"/>
      <c r="P152" s="6">
        <v>43216.351354166662</v>
      </c>
      <c r="Q152" s="16" t="s">
        <v>684</v>
      </c>
      <c r="R152" s="17" t="s">
        <v>685</v>
      </c>
      <c r="S152" s="12"/>
      <c r="T152" s="12"/>
      <c r="U152" s="10" t="str">
        <f>HYPERLINK("https://pbs.twimg.com/profile_images/1057281953391673345/TklY2CAg.jpg","View")</f>
        <v>View</v>
      </c>
    </row>
    <row r="153" spans="1:21" ht="30.6">
      <c r="A153" s="6">
        <v>43441.837037037039</v>
      </c>
      <c r="B153" s="7" t="str">
        <f>HYPERLINK("https://twitter.com/RadioZaragoza","@RadioZaragoza")</f>
        <v>@RadioZaragoza</v>
      </c>
      <c r="C153" s="8" t="s">
        <v>686</v>
      </c>
      <c r="D153" s="9" t="s">
        <v>687</v>
      </c>
      <c r="E153" s="10" t="str">
        <f>HYPERLINK("https://twitter.com/RadioZaragoza/status/1071118481179983874","1071118481179983874")</f>
        <v>1071118481179983874</v>
      </c>
      <c r="F153" s="11" t="s">
        <v>688</v>
      </c>
      <c r="G153" s="12"/>
      <c r="H153" s="12"/>
      <c r="I153" s="13">
        <v>6</v>
      </c>
      <c r="J153" s="13">
        <v>9</v>
      </c>
      <c r="K153" s="14" t="str">
        <f t="shared" ref="K153:K154" si="28">HYPERLINK("http://twitter.com","Twitter Web Client")</f>
        <v>Twitter Web Client</v>
      </c>
      <c r="L153" s="13">
        <v>8890</v>
      </c>
      <c r="M153" s="13">
        <v>839</v>
      </c>
      <c r="N153" s="13">
        <v>202</v>
      </c>
      <c r="O153" s="15"/>
      <c r="P153" s="6">
        <v>40780.881527777776</v>
      </c>
      <c r="Q153" s="16" t="s">
        <v>689</v>
      </c>
      <c r="R153" s="17" t="s">
        <v>690</v>
      </c>
      <c r="S153" s="11" t="s">
        <v>691</v>
      </c>
      <c r="T153" s="12"/>
      <c r="U153" s="10" t="str">
        <f>HYPERLINK("https://pbs.twimg.com/profile_images/1055429566829920256/-zP4vAkd.jpg","View")</f>
        <v>View</v>
      </c>
    </row>
    <row r="154" spans="1:21" ht="20.399999999999999">
      <c r="A154" s="6">
        <v>43441.834456018521</v>
      </c>
      <c r="B154" s="7" t="str">
        <f>HYPERLINK("https://twitter.com/CristianB_01","@CristianB_01")</f>
        <v>@CristianB_01</v>
      </c>
      <c r="C154" s="8" t="s">
        <v>692</v>
      </c>
      <c r="D154" s="9" t="s">
        <v>693</v>
      </c>
      <c r="E154" s="10" t="str">
        <f>HYPERLINK("https://twitter.com/CristianB_01/status/1071117541748170752","1071117541748170752")</f>
        <v>1071117541748170752</v>
      </c>
      <c r="F154" s="11" t="s">
        <v>694</v>
      </c>
      <c r="G154" s="12"/>
      <c r="H154" s="12"/>
      <c r="I154" s="13">
        <v>0</v>
      </c>
      <c r="J154" s="13">
        <v>0</v>
      </c>
      <c r="K154" s="14" t="str">
        <f t="shared" si="28"/>
        <v>Twitter Web Client</v>
      </c>
      <c r="L154" s="13">
        <v>633</v>
      </c>
      <c r="M154" s="13">
        <v>748</v>
      </c>
      <c r="N154" s="13">
        <v>14</v>
      </c>
      <c r="O154" s="15"/>
      <c r="P154" s="6">
        <v>40419.749456018515</v>
      </c>
      <c r="Q154" s="16" t="s">
        <v>96</v>
      </c>
      <c r="R154" s="17" t="s">
        <v>695</v>
      </c>
      <c r="S154" s="11" t="s">
        <v>696</v>
      </c>
      <c r="T154" s="12"/>
      <c r="U154" s="10" t="str">
        <f>HYPERLINK("https://pbs.twimg.com/profile_images/779437246445416449/tdcX-cUJ.jpg","View")</f>
        <v>View</v>
      </c>
    </row>
    <row r="155" spans="1:21" ht="61.2">
      <c r="A155" s="6">
        <v>43441.830312499995</v>
      </c>
      <c r="B155" s="7" t="str">
        <f>HYPERLINK("https://twitter.com/ambcoses","@ambcoses")</f>
        <v>@ambcoses</v>
      </c>
      <c r="C155" s="8" t="s">
        <v>697</v>
      </c>
      <c r="D155" s="9" t="s">
        <v>698</v>
      </c>
      <c r="E155" s="10" t="str">
        <f>HYPERLINK("https://twitter.com/ambcoses/status/1071116044075495424","1071116044075495424")</f>
        <v>1071116044075495424</v>
      </c>
      <c r="F155" s="11" t="s">
        <v>699</v>
      </c>
      <c r="G155" s="12"/>
      <c r="H155" s="12"/>
      <c r="I155" s="13">
        <v>0</v>
      </c>
      <c r="J155" s="13">
        <v>0</v>
      </c>
      <c r="K155" s="14" t="str">
        <f>HYPERLINK("http://twitter.com/#!/download/ipad","Twitter for iPad")</f>
        <v>Twitter for iPad</v>
      </c>
      <c r="L155" s="13">
        <v>34</v>
      </c>
      <c r="M155" s="13">
        <v>255</v>
      </c>
      <c r="N155" s="13">
        <v>0</v>
      </c>
      <c r="O155" s="15"/>
      <c r="P155" s="6">
        <v>42663.484039351853</v>
      </c>
      <c r="Q155" s="16" t="s">
        <v>700</v>
      </c>
      <c r="R155" s="17" t="s">
        <v>701</v>
      </c>
      <c r="S155" s="12"/>
      <c r="T155" s="12"/>
      <c r="U155" s="10" t="str">
        <f>HYPERLINK("https://pbs.twimg.com/profile_images/1050118574126366720/UDz2PSGI.jpg","View")</f>
        <v>View</v>
      </c>
    </row>
    <row r="156" spans="1:21" ht="51">
      <c r="A156" s="6">
        <v>43441.83012731481</v>
      </c>
      <c r="B156" s="7" t="str">
        <f>HYPERLINK("https://twitter.com/compromtido22","@compromtido22")</f>
        <v>@compromtido22</v>
      </c>
      <c r="C156" s="8" t="s">
        <v>702</v>
      </c>
      <c r="D156" s="9" t="s">
        <v>703</v>
      </c>
      <c r="E156" s="10" t="str">
        <f>HYPERLINK("https://twitter.com/compromtido22/status/1071115977109200902","1071115977109200902")</f>
        <v>1071115977109200902</v>
      </c>
      <c r="F156" s="12"/>
      <c r="G156" s="12"/>
      <c r="H156" s="12"/>
      <c r="I156" s="13">
        <v>0</v>
      </c>
      <c r="J156" s="13">
        <v>0</v>
      </c>
      <c r="K156" s="14" t="str">
        <f>HYPERLINK("http://twitter.com/download/android","Twitter for Android")</f>
        <v>Twitter for Android</v>
      </c>
      <c r="L156" s="13">
        <v>955</v>
      </c>
      <c r="M156" s="13">
        <v>858</v>
      </c>
      <c r="N156" s="13">
        <v>15</v>
      </c>
      <c r="O156" s="15"/>
      <c r="P156" s="6">
        <v>42411.832291666666</v>
      </c>
      <c r="Q156" s="12"/>
      <c r="R156" s="17" t="s">
        <v>704</v>
      </c>
      <c r="S156" s="12"/>
      <c r="T156" s="12"/>
      <c r="U156" s="10" t="str">
        <f>HYPERLINK("https://pbs.twimg.com/profile_images/1062806370267860993/RfSkyzB-.jpg","View")</f>
        <v>View</v>
      </c>
    </row>
    <row r="157" spans="1:21" ht="51">
      <c r="A157" s="6">
        <v>43441.825555555552</v>
      </c>
      <c r="B157" s="7" t="str">
        <f>HYPERLINK("https://twitter.com/hectorlima","@hectorlima")</f>
        <v>@hectorlima</v>
      </c>
      <c r="C157" s="8" t="s">
        <v>705</v>
      </c>
      <c r="D157" s="9" t="s">
        <v>706</v>
      </c>
      <c r="E157" s="10" t="str">
        <f>HYPERLINK("https://twitter.com/hectorlima/status/1071114317616033792","1071114317616033792")</f>
        <v>1071114317616033792</v>
      </c>
      <c r="F157" s="12"/>
      <c r="G157" s="11" t="s">
        <v>707</v>
      </c>
      <c r="H157" s="12"/>
      <c r="I157" s="13">
        <v>3</v>
      </c>
      <c r="J157" s="13">
        <v>5</v>
      </c>
      <c r="K157" s="14" t="str">
        <f>HYPERLINK("http://twitter.com/download/iphone","Twitter for iPhone")</f>
        <v>Twitter for iPhone</v>
      </c>
      <c r="L157" s="13">
        <v>5759</v>
      </c>
      <c r="M157" s="13">
        <v>4352</v>
      </c>
      <c r="N157" s="13">
        <v>181</v>
      </c>
      <c r="O157" s="15"/>
      <c r="P157" s="6">
        <v>39250.138136574074</v>
      </c>
      <c r="Q157" s="16" t="s">
        <v>708</v>
      </c>
      <c r="R157" s="17" t="s">
        <v>709</v>
      </c>
      <c r="S157" s="11" t="s">
        <v>710</v>
      </c>
      <c r="T157" s="12"/>
      <c r="U157" s="10" t="str">
        <f>HYPERLINK("https://pbs.twimg.com/profile_images/1069660359819169792/-xByibO-.jpg","View")</f>
        <v>View</v>
      </c>
    </row>
    <row r="158" spans="1:21" ht="30.6">
      <c r="A158" s="6">
        <v>43441.823611111111</v>
      </c>
      <c r="B158" s="7" t="str">
        <f>HYPERLINK("https://twitter.com/ElHuffPost","@ElHuffPost")</f>
        <v>@ElHuffPost</v>
      </c>
      <c r="C158" s="8" t="s">
        <v>106</v>
      </c>
      <c r="D158" s="9" t="s">
        <v>711</v>
      </c>
      <c r="E158" s="10" t="str">
        <f>HYPERLINK("https://twitter.com/ElHuffPost/status/1071113613337915392","1071113613337915392")</f>
        <v>1071113613337915392</v>
      </c>
      <c r="F158" s="11" t="s">
        <v>624</v>
      </c>
      <c r="G158" s="12"/>
      <c r="H158" s="12"/>
      <c r="I158" s="13">
        <v>2</v>
      </c>
      <c r="J158" s="13">
        <v>2</v>
      </c>
      <c r="K158" s="14" t="str">
        <f>HYPERLINK("https://about.twitter.com/products/tweetdeck","TweetDeck")</f>
        <v>TweetDeck</v>
      </c>
      <c r="L158" s="13">
        <v>431182</v>
      </c>
      <c r="M158" s="13">
        <v>1551</v>
      </c>
      <c r="N158" s="13">
        <v>8193</v>
      </c>
      <c r="O158" s="19" t="s">
        <v>44</v>
      </c>
      <c r="P158" s="6">
        <v>40785.027118055557</v>
      </c>
      <c r="Q158" s="16" t="s">
        <v>109</v>
      </c>
      <c r="R158" s="17" t="s">
        <v>110</v>
      </c>
      <c r="S158" s="11" t="s">
        <v>111</v>
      </c>
      <c r="T158" s="12"/>
      <c r="U158" s="10" t="str">
        <f>HYPERLINK("https://pbs.twimg.com/profile_images/921140803422089217/ETOEUOAx.jpg","View")</f>
        <v>View</v>
      </c>
    </row>
    <row r="159" spans="1:21" ht="20.399999999999999">
      <c r="A159" s="6">
        <v>43441.817696759259</v>
      </c>
      <c r="B159" s="7" t="str">
        <f>HYPERLINK("https://twitter.com/CAUTEXA","@CAUTEXA")</f>
        <v>@CAUTEXA</v>
      </c>
      <c r="C159" s="8" t="s">
        <v>712</v>
      </c>
      <c r="D159" s="9" t="s">
        <v>713</v>
      </c>
      <c r="E159" s="10" t="str">
        <f>HYPERLINK("https://twitter.com/CAUTEXA/status/1071111471864705025","1071111471864705025")</f>
        <v>1071111471864705025</v>
      </c>
      <c r="F159" s="11" t="s">
        <v>714</v>
      </c>
      <c r="G159" s="12"/>
      <c r="H159" s="12"/>
      <c r="I159" s="13">
        <v>0</v>
      </c>
      <c r="J159" s="13">
        <v>0</v>
      </c>
      <c r="K159" s="14" t="str">
        <f t="shared" ref="K159:K160" si="29">HYPERLINK("http://twitter.com","Twitter Web Client")</f>
        <v>Twitter Web Client</v>
      </c>
      <c r="L159" s="13">
        <v>103</v>
      </c>
      <c r="M159" s="13">
        <v>266</v>
      </c>
      <c r="N159" s="13">
        <v>1</v>
      </c>
      <c r="O159" s="15"/>
      <c r="P159" s="6">
        <v>40532.002060185187</v>
      </c>
      <c r="Q159" s="16" t="s">
        <v>715</v>
      </c>
      <c r="R159" s="20"/>
      <c r="S159" s="12"/>
      <c r="T159" s="12"/>
      <c r="U159" s="10" t="str">
        <f>HYPERLINK("https://pbs.twimg.com/profile_images/1834253769/MGA.jpg","View")</f>
        <v>View</v>
      </c>
    </row>
    <row r="160" spans="1:21" ht="20.399999999999999">
      <c r="A160" s="6">
        <v>43441.815358796295</v>
      </c>
      <c r="B160" s="7" t="str">
        <f>HYPERLINK("https://twitter.com/10alvarog","@10alvarog")</f>
        <v>@10alvarog</v>
      </c>
      <c r="C160" s="8" t="s">
        <v>716</v>
      </c>
      <c r="D160" s="9" t="s">
        <v>717</v>
      </c>
      <c r="E160" s="10" t="str">
        <f>HYPERLINK("https://twitter.com/10alvarog/status/1071110621863796736","1071110621863796736")</f>
        <v>1071110621863796736</v>
      </c>
      <c r="F160" s="12"/>
      <c r="G160" s="12"/>
      <c r="H160" s="12"/>
      <c r="I160" s="13">
        <v>10</v>
      </c>
      <c r="J160" s="13">
        <v>28</v>
      </c>
      <c r="K160" s="14" t="str">
        <f t="shared" si="29"/>
        <v>Twitter Web Client</v>
      </c>
      <c r="L160" s="13">
        <v>851</v>
      </c>
      <c r="M160" s="13">
        <v>359</v>
      </c>
      <c r="N160" s="13">
        <v>9</v>
      </c>
      <c r="O160" s="15"/>
      <c r="P160" s="6">
        <v>41871.441712962966</v>
      </c>
      <c r="Q160" s="16" t="s">
        <v>718</v>
      </c>
      <c r="R160" s="17" t="s">
        <v>719</v>
      </c>
      <c r="S160" s="12"/>
      <c r="T160" s="12"/>
      <c r="U160" s="10" t="str">
        <f>HYPERLINK("https://pbs.twimg.com/profile_images/1019382487917694977/V3bG3RfI.jpg","View")</f>
        <v>View</v>
      </c>
    </row>
    <row r="161" spans="1:21" ht="40.799999999999997">
      <c r="A161" s="6">
        <v>43441.813287037032</v>
      </c>
      <c r="B161" s="7" t="str">
        <f>HYPERLINK("https://twitter.com/diariovasco","@diariovasco")</f>
        <v>@diariovasco</v>
      </c>
      <c r="C161" s="8" t="s">
        <v>720</v>
      </c>
      <c r="D161" s="9" t="s">
        <v>721</v>
      </c>
      <c r="E161" s="10" t="str">
        <f>HYPERLINK("https://twitter.com/diariovasco/status/1071109873079848962","1071109873079848962")</f>
        <v>1071109873079848962</v>
      </c>
      <c r="F161" s="11" t="s">
        <v>722</v>
      </c>
      <c r="G161" s="12"/>
      <c r="H161" s="12"/>
      <c r="I161" s="13">
        <v>0</v>
      </c>
      <c r="J161" s="13">
        <v>1</v>
      </c>
      <c r="K161" s="14" t="str">
        <f>HYPERLINK("http://dogtrack.es","DogTrack_Oficial")</f>
        <v>DogTrack_Oficial</v>
      </c>
      <c r="L161" s="13">
        <v>76565</v>
      </c>
      <c r="M161" s="13">
        <v>882</v>
      </c>
      <c r="N161" s="13">
        <v>1316</v>
      </c>
      <c r="O161" s="19" t="s">
        <v>44</v>
      </c>
      <c r="P161" s="6">
        <v>39542.815335648149</v>
      </c>
      <c r="Q161" s="16" t="s">
        <v>723</v>
      </c>
      <c r="R161" s="17" t="s">
        <v>724</v>
      </c>
      <c r="S161" s="11" t="s">
        <v>725</v>
      </c>
      <c r="T161" s="12"/>
      <c r="U161" s="10" t="str">
        <f>HYPERLINK("https://pbs.twimg.com/profile_images/972010219600359425/oUPn-qlC.jpg","View")</f>
        <v>View</v>
      </c>
    </row>
    <row r="162" spans="1:21" ht="13.2">
      <c r="A162" s="6">
        <v>43441.81287037037</v>
      </c>
      <c r="B162" s="7" t="str">
        <f>HYPERLINK("https://twitter.com/albert7er","@albert7er")</f>
        <v>@albert7er</v>
      </c>
      <c r="C162" s="8" t="s">
        <v>726</v>
      </c>
      <c r="D162" s="9" t="s">
        <v>727</v>
      </c>
      <c r="E162" s="10" t="str">
        <f>HYPERLINK("https://twitter.com/albert7er/status/1071109721007013889","1071109721007013889")</f>
        <v>1071109721007013889</v>
      </c>
      <c r="F162" s="12"/>
      <c r="G162" s="11" t="s">
        <v>728</v>
      </c>
      <c r="H162" s="12"/>
      <c r="I162" s="13">
        <v>0</v>
      </c>
      <c r="J162" s="13">
        <v>1</v>
      </c>
      <c r="K162" s="14" t="str">
        <f>HYPERLINK("http://twitter.com/download/android","Twitter for Android")</f>
        <v>Twitter for Android</v>
      </c>
      <c r="L162" s="13">
        <v>332</v>
      </c>
      <c r="M162" s="13">
        <v>994</v>
      </c>
      <c r="N162" s="13">
        <v>0</v>
      </c>
      <c r="O162" s="15"/>
      <c r="P162" s="6">
        <v>41732.78869212963</v>
      </c>
      <c r="Q162" s="16" t="s">
        <v>729</v>
      </c>
      <c r="R162" s="17" t="s">
        <v>730</v>
      </c>
      <c r="S162" s="11" t="s">
        <v>731</v>
      </c>
      <c r="T162" s="12"/>
      <c r="U162" s="10" t="str">
        <f>HYPERLINK("https://pbs.twimg.com/profile_images/1069980326099869696/d6NkU0IE.jpg","View")</f>
        <v>View</v>
      </c>
    </row>
    <row r="163" spans="1:21" ht="40.799999999999997">
      <c r="A163" s="6">
        <v>43441.812037037038</v>
      </c>
      <c r="B163" s="7" t="str">
        <f>HYPERLINK("https://twitter.com/protestona1","@protestona1")</f>
        <v>@protestona1</v>
      </c>
      <c r="C163" s="8" t="s">
        <v>732</v>
      </c>
      <c r="D163" s="9" t="s">
        <v>733</v>
      </c>
      <c r="E163" s="10" t="str">
        <f>HYPERLINK("https://twitter.com/protestona1/status/1071109420996853760","1071109420996853760")</f>
        <v>1071109420996853760</v>
      </c>
      <c r="F163" s="12"/>
      <c r="G163" s="11" t="s">
        <v>734</v>
      </c>
      <c r="H163" s="12"/>
      <c r="I163" s="13">
        <v>181</v>
      </c>
      <c r="J163" s="13">
        <v>140</v>
      </c>
      <c r="K163" s="14" t="str">
        <f>HYPERLINK("http://twitter.com/#!/download/ipad","Twitter for iPad")</f>
        <v>Twitter for iPad</v>
      </c>
      <c r="L163" s="13">
        <v>151623</v>
      </c>
      <c r="M163" s="13">
        <v>2214</v>
      </c>
      <c r="N163" s="13">
        <v>810</v>
      </c>
      <c r="O163" s="15"/>
      <c r="P163" s="6">
        <v>41352.82136574074</v>
      </c>
      <c r="Q163" s="16" t="s">
        <v>735</v>
      </c>
      <c r="R163" s="17" t="s">
        <v>736</v>
      </c>
      <c r="S163" s="11" t="s">
        <v>737</v>
      </c>
      <c r="T163" s="12"/>
      <c r="U163" s="10" t="str">
        <f>HYPERLINK("https://pbs.twimg.com/profile_images/1067148427048423431/NQxeU_SX.jpg","View")</f>
        <v>View</v>
      </c>
    </row>
    <row r="164" spans="1:21" ht="20.399999999999999">
      <c r="A164" s="6">
        <v>43441.811932870369</v>
      </c>
      <c r="B164" s="7" t="str">
        <f>HYPERLINK("https://twitter.com/manolinelreal","@manolinelreal")</f>
        <v>@manolinelreal</v>
      </c>
      <c r="C164" s="8" t="s">
        <v>272</v>
      </c>
      <c r="D164" s="9" t="s">
        <v>455</v>
      </c>
      <c r="E164" s="10" t="str">
        <f>HYPERLINK("https://twitter.com/manolinelreal/status/1071109382228860928","1071109382228860928")</f>
        <v>1071109382228860928</v>
      </c>
      <c r="F164" s="11" t="s">
        <v>127</v>
      </c>
      <c r="G164" s="12"/>
      <c r="H164" s="12"/>
      <c r="I164" s="13">
        <v>0</v>
      </c>
      <c r="J164" s="13">
        <v>0</v>
      </c>
      <c r="K164" s="14" t="str">
        <f>HYPERLINK("http://twitter.com/download/android","Twitter for Android")</f>
        <v>Twitter for Android</v>
      </c>
      <c r="L164" s="13">
        <v>2407</v>
      </c>
      <c r="M164" s="13">
        <v>2338</v>
      </c>
      <c r="N164" s="13">
        <v>22</v>
      </c>
      <c r="O164" s="15"/>
      <c r="P164" s="6">
        <v>41276.882627314815</v>
      </c>
      <c r="Q164" s="12"/>
      <c r="R164" s="17" t="s">
        <v>276</v>
      </c>
      <c r="S164" s="12"/>
      <c r="T164" s="12"/>
      <c r="U164" s="10" t="str">
        <f>HYPERLINK("https://pbs.twimg.com/profile_images/1060287423475867649/Ko1nWlY_.jpg","View")</f>
        <v>View</v>
      </c>
    </row>
    <row r="165" spans="1:21" ht="30.6">
      <c r="A165" s="6">
        <v>43441.805937500001</v>
      </c>
      <c r="B165" s="7" t="str">
        <f>HYPERLINK("https://twitter.com/Kanal_Zero15","@Kanal_Zero15")</f>
        <v>@Kanal_Zero15</v>
      </c>
      <c r="C165" s="8" t="s">
        <v>738</v>
      </c>
      <c r="D165" s="9" t="s">
        <v>143</v>
      </c>
      <c r="E165" s="10" t="str">
        <f>HYPERLINK("https://twitter.com/Kanal_Zero15/status/1071107210523148288","1071107210523148288")</f>
        <v>1071107210523148288</v>
      </c>
      <c r="F165" s="11" t="s">
        <v>144</v>
      </c>
      <c r="G165" s="12"/>
      <c r="H165" s="12"/>
      <c r="I165" s="13">
        <v>0</v>
      </c>
      <c r="J165" s="13">
        <v>0</v>
      </c>
      <c r="K165" s="14" t="str">
        <f>HYPERLINK("http://twitter.com","Twitter Web Client")</f>
        <v>Twitter Web Client</v>
      </c>
      <c r="L165" s="13">
        <v>896</v>
      </c>
      <c r="M165" s="13">
        <v>496</v>
      </c>
      <c r="N165" s="13">
        <v>19</v>
      </c>
      <c r="O165" s="15"/>
      <c r="P165" s="6">
        <v>42069.827731481477</v>
      </c>
      <c r="Q165" s="12"/>
      <c r="R165" s="17" t="s">
        <v>739</v>
      </c>
      <c r="S165" s="12"/>
      <c r="T165" s="12"/>
      <c r="U165" s="10" t="str">
        <f>HYPERLINK("https://pbs.twimg.com/profile_images/1070656082366873600/pmg9zU0m.jpg","View")</f>
        <v>View</v>
      </c>
    </row>
    <row r="166" spans="1:21" ht="40.799999999999997">
      <c r="A166" s="6">
        <v>43441.80537037037</v>
      </c>
      <c r="B166" s="7" t="str">
        <f>HYPERLINK("https://twitter.com/ecd_","@ecd_")</f>
        <v>@ecd_</v>
      </c>
      <c r="C166" s="8" t="s">
        <v>740</v>
      </c>
      <c r="D166" s="9" t="s">
        <v>741</v>
      </c>
      <c r="E166" s="10" t="str">
        <f>HYPERLINK("https://twitter.com/ecd_/status/1071107001680363521","1071107001680363521")</f>
        <v>1071107001680363521</v>
      </c>
      <c r="F166" s="11" t="s">
        <v>742</v>
      </c>
      <c r="G166" s="12"/>
      <c r="H166" s="12"/>
      <c r="I166" s="13">
        <v>1</v>
      </c>
      <c r="J166" s="13">
        <v>0</v>
      </c>
      <c r="K166" s="14" t="str">
        <f>HYPERLINK("http://dogtrack.es","DogTrack_Oficial")</f>
        <v>DogTrack_Oficial</v>
      </c>
      <c r="L166" s="13">
        <v>88447</v>
      </c>
      <c r="M166" s="13">
        <v>364</v>
      </c>
      <c r="N166" s="13">
        <v>2650</v>
      </c>
      <c r="O166" s="15"/>
      <c r="P166" s="6">
        <v>39931.730115740742</v>
      </c>
      <c r="Q166" s="26" t="s">
        <v>743</v>
      </c>
      <c r="R166" s="17" t="s">
        <v>744</v>
      </c>
      <c r="S166" s="11" t="s">
        <v>745</v>
      </c>
      <c r="T166" s="12"/>
      <c r="U166" s="10" t="str">
        <f>HYPERLINK("https://pbs.twimg.com/profile_images/720595850238554113/Y8DGFyzZ.jpg","View")</f>
        <v>View</v>
      </c>
    </row>
    <row r="167" spans="1:21" ht="30.6">
      <c r="A167" s="6">
        <v>43441.800578703704</v>
      </c>
      <c r="B167" s="7" t="str">
        <f>HYPERLINK("https://twitter.com/Luichi16038494","@Luichi16038494")</f>
        <v>@Luichi16038494</v>
      </c>
      <c r="C167" s="8" t="s">
        <v>746</v>
      </c>
      <c r="D167" s="9" t="s">
        <v>747</v>
      </c>
      <c r="E167" s="10" t="str">
        <f>HYPERLINK("https://twitter.com/Luichi16038494/status/1071105268912701441","1071105268912701441")</f>
        <v>1071105268912701441</v>
      </c>
      <c r="F167" s="11" t="s">
        <v>89</v>
      </c>
      <c r="G167" s="12"/>
      <c r="H167" s="12"/>
      <c r="I167" s="13">
        <v>0</v>
      </c>
      <c r="J167" s="13">
        <v>0</v>
      </c>
      <c r="K167" s="14" t="str">
        <f>HYPERLINK("http://twitter.com","Twitter Web Client")</f>
        <v>Twitter Web Client</v>
      </c>
      <c r="L167" s="13">
        <v>0</v>
      </c>
      <c r="M167" s="13">
        <v>9</v>
      </c>
      <c r="N167" s="13">
        <v>0</v>
      </c>
      <c r="O167" s="15"/>
      <c r="P167" s="6">
        <v>43005.000104166669</v>
      </c>
      <c r="Q167" s="12"/>
      <c r="R167" s="20"/>
      <c r="S167" s="12"/>
      <c r="T167" s="12"/>
      <c r="U167" s="19" t="s">
        <v>359</v>
      </c>
    </row>
    <row r="168" spans="1:21" ht="40.799999999999997">
      <c r="A168" s="6">
        <v>43441.800578703704</v>
      </c>
      <c r="B168" s="7" t="str">
        <f>HYPERLINK("https://twitter.com/JosepM63590675","@JosepM63590675")</f>
        <v>@JosepM63590675</v>
      </c>
      <c r="C168" s="8" t="s">
        <v>748</v>
      </c>
      <c r="D168" s="9" t="s">
        <v>749</v>
      </c>
      <c r="E168" s="10" t="str">
        <f>HYPERLINK("https://twitter.com/JosepM63590675/status/1071105265448206337","1071105265448206337")</f>
        <v>1071105265448206337</v>
      </c>
      <c r="F168" s="12"/>
      <c r="G168" s="12"/>
      <c r="H168" s="12"/>
      <c r="I168" s="13">
        <v>0</v>
      </c>
      <c r="J168" s="13">
        <v>1</v>
      </c>
      <c r="K168" s="14" t="str">
        <f t="shared" ref="K168:K169" si="30">HYPERLINK("http://twitter.com/download/android","Twitter for Android")</f>
        <v>Twitter for Android</v>
      </c>
      <c r="L168" s="13">
        <v>866</v>
      </c>
      <c r="M168" s="13">
        <v>837</v>
      </c>
      <c r="N168" s="13">
        <v>3</v>
      </c>
      <c r="O168" s="15"/>
      <c r="P168" s="6">
        <v>42997.994675925926</v>
      </c>
      <c r="Q168" s="16" t="s">
        <v>750</v>
      </c>
      <c r="R168" s="17" t="s">
        <v>751</v>
      </c>
      <c r="S168" s="12"/>
      <c r="T168" s="12"/>
      <c r="U168" s="10" t="str">
        <f>HYPERLINK("https://pbs.twimg.com/profile_images/912123342383194112/oVpk3jNx.jpg","View")</f>
        <v>View</v>
      </c>
    </row>
    <row r="169" spans="1:21" ht="61.2">
      <c r="A169" s="6">
        <v>43441.799768518518</v>
      </c>
      <c r="B169" s="7" t="str">
        <f>HYPERLINK("https://twitter.com/libertarioesp","@libertarioesp")</f>
        <v>@libertarioesp</v>
      </c>
      <c r="C169" s="8" t="s">
        <v>752</v>
      </c>
      <c r="D169" s="9" t="s">
        <v>753</v>
      </c>
      <c r="E169" s="10" t="str">
        <f>HYPERLINK("https://twitter.com/libertarioesp/status/1071104974963253248","1071104974963253248")</f>
        <v>1071104974963253248</v>
      </c>
      <c r="F169" s="11" t="s">
        <v>754</v>
      </c>
      <c r="G169" s="11" t="s">
        <v>755</v>
      </c>
      <c r="H169" s="12"/>
      <c r="I169" s="13">
        <v>0</v>
      </c>
      <c r="J169" s="13">
        <v>2</v>
      </c>
      <c r="K169" s="14" t="str">
        <f t="shared" si="30"/>
        <v>Twitter for Android</v>
      </c>
      <c r="L169" s="13">
        <v>141</v>
      </c>
      <c r="M169" s="13">
        <v>45</v>
      </c>
      <c r="N169" s="13">
        <v>1</v>
      </c>
      <c r="O169" s="15"/>
      <c r="P169" s="6">
        <v>43239.576053240744</v>
      </c>
      <c r="Q169" s="16" t="s">
        <v>756</v>
      </c>
      <c r="R169" s="17" t="s">
        <v>757</v>
      </c>
      <c r="S169" s="11" t="s">
        <v>758</v>
      </c>
      <c r="T169" s="12"/>
      <c r="U169" s="10" t="str">
        <f>HYPERLINK("https://pbs.twimg.com/profile_images/1056685961785106432/CiOcnyBI.jpg","View")</f>
        <v>View</v>
      </c>
    </row>
    <row r="170" spans="1:21" ht="30.6">
      <c r="A170" s="6">
        <v>43441.796527777777</v>
      </c>
      <c r="B170" s="7" t="str">
        <f>HYPERLINK("https://twitter.com/ElHuffPost","@ElHuffPost")</f>
        <v>@ElHuffPost</v>
      </c>
      <c r="C170" s="8" t="s">
        <v>106</v>
      </c>
      <c r="D170" s="9" t="s">
        <v>711</v>
      </c>
      <c r="E170" s="10" t="str">
        <f>HYPERLINK("https://twitter.com/ElHuffPost/status/1071103798536327168","1071103798536327168")</f>
        <v>1071103798536327168</v>
      </c>
      <c r="F170" s="11" t="s">
        <v>624</v>
      </c>
      <c r="G170" s="12"/>
      <c r="H170" s="12"/>
      <c r="I170" s="13">
        <v>4</v>
      </c>
      <c r="J170" s="13">
        <v>7</v>
      </c>
      <c r="K170" s="14" t="str">
        <f>HYPERLINK("https://about.twitter.com/products/tweetdeck","TweetDeck")</f>
        <v>TweetDeck</v>
      </c>
      <c r="L170" s="13">
        <v>431182</v>
      </c>
      <c r="M170" s="13">
        <v>1551</v>
      </c>
      <c r="N170" s="13">
        <v>8193</v>
      </c>
      <c r="O170" s="19" t="s">
        <v>44</v>
      </c>
      <c r="P170" s="6">
        <v>40785.027118055557</v>
      </c>
      <c r="Q170" s="16" t="s">
        <v>109</v>
      </c>
      <c r="R170" s="17" t="s">
        <v>110</v>
      </c>
      <c r="S170" s="11" t="s">
        <v>111</v>
      </c>
      <c r="T170" s="12"/>
      <c r="U170" s="10" t="str">
        <f>HYPERLINK("https://pbs.twimg.com/profile_images/921140803422089217/ETOEUOAx.jpg","View")</f>
        <v>View</v>
      </c>
    </row>
    <row r="171" spans="1:21" ht="20.399999999999999">
      <c r="A171" s="6">
        <v>43441.793900462959</v>
      </c>
      <c r="B171" s="7" t="str">
        <f>HYPERLINK("https://twitter.com/Anita_Thomsen_","@Anita_Thomsen_")</f>
        <v>@Anita_Thomsen_</v>
      </c>
      <c r="C171" s="8" t="s">
        <v>759</v>
      </c>
      <c r="D171" s="9" t="s">
        <v>143</v>
      </c>
      <c r="E171" s="10" t="str">
        <f>HYPERLINK("https://twitter.com/Anita_Thomsen_/status/1071102844902785024","1071102844902785024")</f>
        <v>1071102844902785024</v>
      </c>
      <c r="F171" s="11" t="s">
        <v>144</v>
      </c>
      <c r="G171" s="12"/>
      <c r="H171" s="12"/>
      <c r="I171" s="13">
        <v>1</v>
      </c>
      <c r="J171" s="13">
        <v>0</v>
      </c>
      <c r="K171" s="14" t="str">
        <f>HYPERLINK("http://twitter.com","Twitter Web Client")</f>
        <v>Twitter Web Client</v>
      </c>
      <c r="L171" s="13">
        <v>1071</v>
      </c>
      <c r="M171" s="13">
        <v>2123</v>
      </c>
      <c r="N171" s="13">
        <v>49</v>
      </c>
      <c r="O171" s="15"/>
      <c r="P171" s="6">
        <v>40680.839131944442</v>
      </c>
      <c r="Q171" s="16" t="s">
        <v>175</v>
      </c>
      <c r="R171" s="20"/>
      <c r="S171" s="11" t="s">
        <v>760</v>
      </c>
      <c r="T171" s="12"/>
      <c r="U171" s="10" t="str">
        <f>HYPERLINK("https://pbs.twimg.com/profile_images/1359534321/9-2-2011.JPG","View")</f>
        <v>View</v>
      </c>
    </row>
    <row r="172" spans="1:21" ht="61.2">
      <c r="A172" s="6">
        <v>43441.792025462964</v>
      </c>
      <c r="B172" s="7" t="str">
        <f>HYPERLINK("https://twitter.com/fsabes","@fsabes")</f>
        <v>@fsabes</v>
      </c>
      <c r="C172" s="8" t="s">
        <v>761</v>
      </c>
      <c r="D172" s="9" t="s">
        <v>762</v>
      </c>
      <c r="E172" s="10" t="str">
        <f>HYPERLINK("https://twitter.com/fsabes/status/1071102167430430722","1071102167430430722")</f>
        <v>1071102167430430722</v>
      </c>
      <c r="F172" s="16" t="s">
        <v>763</v>
      </c>
      <c r="G172" s="12"/>
      <c r="H172" s="12"/>
      <c r="I172" s="13">
        <v>1</v>
      </c>
      <c r="J172" s="13">
        <v>11</v>
      </c>
      <c r="K172" s="14" t="str">
        <f>HYPERLINK("http://twitter.com/download/android","Twitter for Android")</f>
        <v>Twitter for Android</v>
      </c>
      <c r="L172" s="13">
        <v>1909</v>
      </c>
      <c r="M172" s="13">
        <v>1852</v>
      </c>
      <c r="N172" s="13">
        <v>49</v>
      </c>
      <c r="O172" s="15"/>
      <c r="P172" s="6">
        <v>40492.366296296299</v>
      </c>
      <c r="Q172" s="16" t="s">
        <v>764</v>
      </c>
      <c r="R172" s="17" t="s">
        <v>765</v>
      </c>
      <c r="S172" s="12"/>
      <c r="T172" s="12"/>
      <c r="U172" s="10" t="str">
        <f>HYPERLINK("https://pbs.twimg.com/profile_images/966980140604510208/v1YhbNwu.jpg","View")</f>
        <v>View</v>
      </c>
    </row>
    <row r="173" spans="1:21" ht="20.399999999999999">
      <c r="A173" s="6">
        <v>43441.784618055557</v>
      </c>
      <c r="B173" s="7" t="str">
        <f>HYPERLINK("https://twitter.com/vdiazm1_diaz","@vdiazm1_diaz")</f>
        <v>@vdiazm1_diaz</v>
      </c>
      <c r="C173" s="8" t="s">
        <v>766</v>
      </c>
      <c r="D173" s="9" t="s">
        <v>273</v>
      </c>
      <c r="E173" s="10" t="str">
        <f>HYPERLINK("https://twitter.com/vdiazm1_diaz/status/1071099482102747137","1071099482102747137")</f>
        <v>1071099482102747137</v>
      </c>
      <c r="F173" s="11" t="s">
        <v>144</v>
      </c>
      <c r="G173" s="12"/>
      <c r="H173" s="12"/>
      <c r="I173" s="13">
        <v>0</v>
      </c>
      <c r="J173" s="13">
        <v>0</v>
      </c>
      <c r="K173" s="14" t="str">
        <f>HYPERLINK("http://twitter.com","Twitter Web Client")</f>
        <v>Twitter Web Client</v>
      </c>
      <c r="L173" s="13">
        <v>248</v>
      </c>
      <c r="M173" s="13">
        <v>749</v>
      </c>
      <c r="N173" s="13">
        <v>4</v>
      </c>
      <c r="O173" s="15"/>
      <c r="P173" s="6">
        <v>41249.679791666669</v>
      </c>
      <c r="Q173" s="16" t="s">
        <v>229</v>
      </c>
      <c r="R173" s="20"/>
      <c r="S173" s="12"/>
      <c r="T173" s="12"/>
      <c r="U173" s="10" t="str">
        <f>HYPERLINK("https://pbs.twimg.com/profile_images/3064758577/4c08a7e2ae9b38632be10321609a9233.jpeg","View")</f>
        <v>View</v>
      </c>
    </row>
    <row r="174" spans="1:21" ht="30.6">
      <c r="A174" s="6">
        <v>43441.782500000001</v>
      </c>
      <c r="B174" s="7" t="str">
        <f>HYPERLINK("https://twitter.com/kiddo_the","@kiddo_the")</f>
        <v>@kiddo_the</v>
      </c>
      <c r="C174" s="8" t="s">
        <v>768</v>
      </c>
      <c r="D174" s="9" t="s">
        <v>273</v>
      </c>
      <c r="E174" s="10" t="str">
        <f>HYPERLINK("https://twitter.com/kiddo_the/status/1071098714977116160","1071098714977116160")</f>
        <v>1071098714977116160</v>
      </c>
      <c r="F174" s="11" t="s">
        <v>144</v>
      </c>
      <c r="G174" s="12"/>
      <c r="H174" s="12"/>
      <c r="I174" s="13">
        <v>0</v>
      </c>
      <c r="J174" s="13">
        <v>0</v>
      </c>
      <c r="K174" s="14" t="str">
        <f t="shared" ref="K174:K175" si="31">HYPERLINK("http://twitter.com/download/android","Twitter for Android")</f>
        <v>Twitter for Android</v>
      </c>
      <c r="L174" s="13">
        <v>1131</v>
      </c>
      <c r="M174" s="13">
        <v>1512</v>
      </c>
      <c r="N174" s="13">
        <v>13</v>
      </c>
      <c r="O174" s="15"/>
      <c r="P174" s="6">
        <v>42101.530821759261</v>
      </c>
      <c r="Q174" s="16" t="s">
        <v>30</v>
      </c>
      <c r="R174" s="17" t="s">
        <v>769</v>
      </c>
      <c r="S174" s="12"/>
      <c r="T174" s="12"/>
      <c r="U174" s="10" t="str">
        <f>HYPERLINK("https://pbs.twimg.com/profile_images/917787207792021504/oCthRWjS.jpg","View")</f>
        <v>View</v>
      </c>
    </row>
    <row r="175" spans="1:21" ht="51">
      <c r="A175" s="6">
        <v>43441.781909722224</v>
      </c>
      <c r="B175" s="7" t="str">
        <f>HYPERLINK("https://twitter.com/pedroerrojo","@pedroerrojo")</f>
        <v>@pedroerrojo</v>
      </c>
      <c r="C175" s="8" t="s">
        <v>770</v>
      </c>
      <c r="D175" s="9" t="s">
        <v>771</v>
      </c>
      <c r="E175" s="10" t="str">
        <f>HYPERLINK("https://twitter.com/pedroerrojo/status/1071098502669836288","1071098502669836288")</f>
        <v>1071098502669836288</v>
      </c>
      <c r="F175" s="12"/>
      <c r="G175" s="12"/>
      <c r="H175" s="12"/>
      <c r="I175" s="13">
        <v>0</v>
      </c>
      <c r="J175" s="13">
        <v>0</v>
      </c>
      <c r="K175" s="14" t="str">
        <f t="shared" si="31"/>
        <v>Twitter for Android</v>
      </c>
      <c r="L175" s="13">
        <v>1303</v>
      </c>
      <c r="M175" s="13">
        <v>1646</v>
      </c>
      <c r="N175" s="13">
        <v>19</v>
      </c>
      <c r="O175" s="15"/>
      <c r="P175" s="6">
        <v>40875.772546296299</v>
      </c>
      <c r="Q175" s="16" t="s">
        <v>773</v>
      </c>
      <c r="R175" s="17" t="s">
        <v>774</v>
      </c>
      <c r="S175" s="12"/>
      <c r="T175" s="12"/>
      <c r="U175" s="10" t="str">
        <f>HYPERLINK("https://pbs.twimg.com/profile_images/1070766392402698241/e51kob6C.jpg","View")</f>
        <v>View</v>
      </c>
    </row>
    <row r="176" spans="1:21" ht="40.799999999999997">
      <c r="A176" s="6">
        <v>43441.78125</v>
      </c>
      <c r="B176" s="7" t="str">
        <f>HYPERLINK("https://twitter.com/El_Plural","@El_Plural")</f>
        <v>@El_Plural</v>
      </c>
      <c r="C176" s="8" t="s">
        <v>507</v>
      </c>
      <c r="D176" s="9" t="s">
        <v>775</v>
      </c>
      <c r="E176" s="10" t="str">
        <f>HYPERLINK("https://twitter.com/El_Plural/status/1071098262071869441","1071098262071869441")</f>
        <v>1071098262071869441</v>
      </c>
      <c r="F176" s="11" t="s">
        <v>776</v>
      </c>
      <c r="G176" s="12"/>
      <c r="H176" s="12"/>
      <c r="I176" s="13">
        <v>9</v>
      </c>
      <c r="J176" s="13">
        <v>4</v>
      </c>
      <c r="K176" s="14" t="str">
        <f>HYPERLINK("https://about.twitter.com/products/tweetdeck","TweetDeck")</f>
        <v>TweetDeck</v>
      </c>
      <c r="L176" s="13">
        <v>72031</v>
      </c>
      <c r="M176" s="13">
        <v>1650</v>
      </c>
      <c r="N176" s="13">
        <v>2018</v>
      </c>
      <c r="O176" s="15"/>
      <c r="P176" s="6">
        <v>40351.51053240741</v>
      </c>
      <c r="Q176" s="16" t="s">
        <v>48</v>
      </c>
      <c r="R176" s="17" t="s">
        <v>510</v>
      </c>
      <c r="S176" s="11" t="s">
        <v>511</v>
      </c>
      <c r="T176" s="12"/>
      <c r="U176" s="10" t="str">
        <f>HYPERLINK("https://pbs.twimg.com/profile_images/1017707018138857473/kUt8X2tn.jpg","View")</f>
        <v>View</v>
      </c>
    </row>
    <row r="177" spans="1:21" ht="40.799999999999997">
      <c r="A177" s="6">
        <v>43441.779791666668</v>
      </c>
      <c r="B177" s="7" t="str">
        <f>HYPERLINK("https://twitter.com/macolvialcar","@macolvialcar")</f>
        <v>@macolvialcar</v>
      </c>
      <c r="C177" s="8" t="s">
        <v>777</v>
      </c>
      <c r="D177" s="9" t="s">
        <v>778</v>
      </c>
      <c r="E177" s="10" t="str">
        <f>HYPERLINK("https://twitter.com/macolvialcar/status/1071097732226523138","1071097732226523138")</f>
        <v>1071097732226523138</v>
      </c>
      <c r="F177" s="11" t="s">
        <v>621</v>
      </c>
      <c r="G177" s="12"/>
      <c r="H177" s="12"/>
      <c r="I177" s="13">
        <v>2</v>
      </c>
      <c r="J177" s="13">
        <v>0</v>
      </c>
      <c r="K177" s="14" t="str">
        <f>HYPERLINK("http://twitter.com","Twitter Web Client")</f>
        <v>Twitter Web Client</v>
      </c>
      <c r="L177" s="13">
        <v>429</v>
      </c>
      <c r="M177" s="13">
        <v>852</v>
      </c>
      <c r="N177" s="13">
        <v>5</v>
      </c>
      <c r="O177" s="15"/>
      <c r="P177" s="6">
        <v>41249.092893518522</v>
      </c>
      <c r="Q177" s="12"/>
      <c r="R177" s="17" t="s">
        <v>779</v>
      </c>
      <c r="S177" s="12"/>
      <c r="T177" s="12"/>
      <c r="U177" s="10" t="str">
        <f>HYPERLINK("https://pbs.twimg.com/profile_images/2992107754/1b9909b521131f7f3db6962a731d8165.jpeg","View")</f>
        <v>View</v>
      </c>
    </row>
    <row r="178" spans="1:21" ht="20.399999999999999">
      <c r="A178" s="6">
        <v>43441.772546296299</v>
      </c>
      <c r="B178" s="7" t="str">
        <f>HYPERLINK("https://twitter.com/elhuron2","@elhuron2")</f>
        <v>@elhuron2</v>
      </c>
      <c r="C178" s="8" t="s">
        <v>780</v>
      </c>
      <c r="D178" s="9" t="s">
        <v>781</v>
      </c>
      <c r="E178" s="10" t="str">
        <f>HYPERLINK("https://twitter.com/elhuron2/status/1071095107917467650","1071095107917467650")</f>
        <v>1071095107917467650</v>
      </c>
      <c r="F178" s="11" t="s">
        <v>782</v>
      </c>
      <c r="G178" s="12"/>
      <c r="H178" s="12"/>
      <c r="I178" s="13">
        <v>0</v>
      </c>
      <c r="J178" s="13">
        <v>0</v>
      </c>
      <c r="K178" s="14" t="str">
        <f>HYPERLINK("https://www.google.com/","Google")</f>
        <v>Google</v>
      </c>
      <c r="L178" s="13">
        <v>412</v>
      </c>
      <c r="M178" s="13">
        <v>501</v>
      </c>
      <c r="N178" s="13">
        <v>6</v>
      </c>
      <c r="O178" s="15"/>
      <c r="P178" s="6">
        <v>41869.952997685185</v>
      </c>
      <c r="Q178" s="16" t="s">
        <v>783</v>
      </c>
      <c r="R178" s="17" t="s">
        <v>784</v>
      </c>
      <c r="S178" s="11" t="s">
        <v>785</v>
      </c>
      <c r="T178" s="12"/>
      <c r="U178" s="10" t="str">
        <f>HYPERLINK("https://pbs.twimg.com/profile_images/803176150629515264/heYiZScX.jpg","View")</f>
        <v>View</v>
      </c>
    </row>
    <row r="179" spans="1:21" ht="20.399999999999999">
      <c r="A179" s="6">
        <v>43441.767835648148</v>
      </c>
      <c r="B179" s="7" t="str">
        <f>HYPERLINK("https://twitter.com/Granada2001","@Granada2001")</f>
        <v>@Granada2001</v>
      </c>
      <c r="C179" s="8" t="s">
        <v>786</v>
      </c>
      <c r="D179" s="9" t="s">
        <v>143</v>
      </c>
      <c r="E179" s="10" t="str">
        <f>HYPERLINK("https://twitter.com/Granada2001/status/1071093401670569986","1071093401670569986")</f>
        <v>1071093401670569986</v>
      </c>
      <c r="F179" s="11" t="s">
        <v>144</v>
      </c>
      <c r="G179" s="12"/>
      <c r="H179" s="12"/>
      <c r="I179" s="13">
        <v>2</v>
      </c>
      <c r="J179" s="13">
        <v>0</v>
      </c>
      <c r="K179" s="14" t="str">
        <f t="shared" ref="K179:K180" si="32">HYPERLINK("http://twitter.com","Twitter Web Client")</f>
        <v>Twitter Web Client</v>
      </c>
      <c r="L179" s="13">
        <v>375</v>
      </c>
      <c r="M179" s="13">
        <v>460</v>
      </c>
      <c r="N179" s="13">
        <v>14</v>
      </c>
      <c r="O179" s="15"/>
      <c r="P179" s="6">
        <v>40986.531388888892</v>
      </c>
      <c r="Q179" s="16" t="s">
        <v>787</v>
      </c>
      <c r="R179" s="17" t="s">
        <v>788</v>
      </c>
      <c r="S179" s="12"/>
      <c r="T179" s="12"/>
      <c r="U179" s="10" t="str">
        <f>HYPERLINK("https://pbs.twimg.com/profile_images/920957254907678721/3rQr2BiD.jpg","View")</f>
        <v>View</v>
      </c>
    </row>
    <row r="180" spans="1:21" ht="51">
      <c r="A180" s="6">
        <v>43441.764247685191</v>
      </c>
      <c r="B180" s="7" t="str">
        <f>HYPERLINK("https://twitter.com/Rednet84463669","@Rednet84463669")</f>
        <v>@Rednet84463669</v>
      </c>
      <c r="C180" s="8" t="s">
        <v>789</v>
      </c>
      <c r="D180" s="9" t="s">
        <v>790</v>
      </c>
      <c r="E180" s="10" t="str">
        <f>HYPERLINK("https://twitter.com/Rednet84463669/status/1071092101092392960","1071092101092392960")</f>
        <v>1071092101092392960</v>
      </c>
      <c r="F180" s="12"/>
      <c r="G180" s="12"/>
      <c r="H180" s="12"/>
      <c r="I180" s="13">
        <v>0</v>
      </c>
      <c r="J180" s="13">
        <v>0</v>
      </c>
      <c r="K180" s="14" t="str">
        <f t="shared" si="32"/>
        <v>Twitter Web Client</v>
      </c>
      <c r="L180" s="13">
        <v>0</v>
      </c>
      <c r="M180" s="13">
        <v>12</v>
      </c>
      <c r="N180" s="13">
        <v>0</v>
      </c>
      <c r="O180" s="15"/>
      <c r="P180" s="6">
        <v>43361.783506944441</v>
      </c>
      <c r="Q180" s="12"/>
      <c r="R180" s="20"/>
      <c r="S180" s="12"/>
      <c r="T180" s="12"/>
      <c r="U180" s="10" t="str">
        <f>HYPERLINK("https://pbs.twimg.com/profile_images/1042103401046335489/qvM4AW4C.jpg","View")</f>
        <v>View</v>
      </c>
    </row>
    <row r="181" spans="1:21" ht="20.399999999999999">
      <c r="A181" s="6">
        <v>43441.755185185189</v>
      </c>
      <c r="B181" s="7" t="str">
        <f>HYPERLINK("https://twitter.com/elhuron2","@elhuron2")</f>
        <v>@elhuron2</v>
      </c>
      <c r="C181" s="8" t="s">
        <v>780</v>
      </c>
      <c r="D181" s="9" t="s">
        <v>791</v>
      </c>
      <c r="E181" s="10" t="str">
        <f>HYPERLINK("https://twitter.com/elhuron2/status/1071088815605989376","1071088815605989376")</f>
        <v>1071088815605989376</v>
      </c>
      <c r="F181" s="11" t="s">
        <v>782</v>
      </c>
      <c r="G181" s="12"/>
      <c r="H181" s="12"/>
      <c r="I181" s="13">
        <v>0</v>
      </c>
      <c r="J181" s="13">
        <v>0</v>
      </c>
      <c r="K181" s="14" t="str">
        <f>HYPERLINK("https://www.google.com/","Google")</f>
        <v>Google</v>
      </c>
      <c r="L181" s="13">
        <v>412</v>
      </c>
      <c r="M181" s="13">
        <v>501</v>
      </c>
      <c r="N181" s="13">
        <v>6</v>
      </c>
      <c r="O181" s="15"/>
      <c r="P181" s="6">
        <v>41869.952997685185</v>
      </c>
      <c r="Q181" s="16" t="s">
        <v>783</v>
      </c>
      <c r="R181" s="17" t="s">
        <v>784</v>
      </c>
      <c r="S181" s="11" t="s">
        <v>785</v>
      </c>
      <c r="T181" s="12"/>
      <c r="U181" s="10" t="str">
        <f>HYPERLINK("https://pbs.twimg.com/profile_images/803176150629515264/heYiZScX.jpg","View")</f>
        <v>View</v>
      </c>
    </row>
    <row r="182" spans="1:21" ht="51">
      <c r="A182" s="6">
        <v>43441.749409722222</v>
      </c>
      <c r="B182" s="7" t="str">
        <f>HYPERLINK("https://twitter.com/inmaculadadf","@inmaculadadf")</f>
        <v>@inmaculadadf</v>
      </c>
      <c r="C182" s="8" t="s">
        <v>792</v>
      </c>
      <c r="D182" s="9" t="s">
        <v>793</v>
      </c>
      <c r="E182" s="10" t="str">
        <f>HYPERLINK("https://twitter.com/inmaculadadf/status/1071086726121250817","1071086726121250817")</f>
        <v>1071086726121250817</v>
      </c>
      <c r="F182" s="12"/>
      <c r="G182" s="11" t="s">
        <v>794</v>
      </c>
      <c r="H182" s="12"/>
      <c r="I182" s="13">
        <v>2</v>
      </c>
      <c r="J182" s="13">
        <v>7</v>
      </c>
      <c r="K182" s="14" t="str">
        <f>HYPERLINK("http://twitter.com/download/android","Twitter for Android")</f>
        <v>Twitter for Android</v>
      </c>
      <c r="L182" s="13">
        <v>287</v>
      </c>
      <c r="M182" s="13">
        <v>234</v>
      </c>
      <c r="N182" s="13">
        <v>4</v>
      </c>
      <c r="O182" s="15"/>
      <c r="P182" s="6">
        <v>42328.591782407406</v>
      </c>
      <c r="Q182" s="16" t="s">
        <v>795</v>
      </c>
      <c r="R182" s="17" t="s">
        <v>796</v>
      </c>
      <c r="S182" s="12"/>
      <c r="T182" s="12"/>
      <c r="U182" s="10" t="str">
        <f>HYPERLINK("https://pbs.twimg.com/profile_images/667692920670130176/W3wGYLkN.jpg","View")</f>
        <v>View</v>
      </c>
    </row>
    <row r="183" spans="1:21" ht="40.799999999999997">
      <c r="A183" s="6">
        <v>43441.747187500005</v>
      </c>
      <c r="B183" s="7" t="str">
        <f>HYPERLINK("https://twitter.com/cartujano57gil","@cartujano57gil")</f>
        <v>@cartujano57gil</v>
      </c>
      <c r="C183" s="8" t="s">
        <v>797</v>
      </c>
      <c r="D183" s="9" t="s">
        <v>273</v>
      </c>
      <c r="E183" s="10" t="str">
        <f>HYPERLINK("https://twitter.com/cartujano57gil/status/1071085920240181255","1071085920240181255")</f>
        <v>1071085920240181255</v>
      </c>
      <c r="F183" s="11" t="s">
        <v>144</v>
      </c>
      <c r="G183" s="12"/>
      <c r="H183" s="12"/>
      <c r="I183" s="13">
        <v>0</v>
      </c>
      <c r="J183" s="13">
        <v>0</v>
      </c>
      <c r="K183" s="14" t="str">
        <f>HYPERLINK("http://www.facebook.com/twitter","Facebook")</f>
        <v>Facebook</v>
      </c>
      <c r="L183" s="13">
        <v>104</v>
      </c>
      <c r="M183" s="13">
        <v>304</v>
      </c>
      <c r="N183" s="13">
        <v>3</v>
      </c>
      <c r="O183" s="15"/>
      <c r="P183" s="6">
        <v>42607.894965277781</v>
      </c>
      <c r="Q183" s="16" t="s">
        <v>798</v>
      </c>
      <c r="R183" s="17" t="s">
        <v>799</v>
      </c>
      <c r="S183" s="12"/>
      <c r="T183" s="12"/>
      <c r="U183" s="10" t="str">
        <f>HYPERLINK("https://pbs.twimg.com/profile_images/769984638903255044/f-AxsW4K.jpg","View")</f>
        <v>View</v>
      </c>
    </row>
    <row r="184" spans="1:21" ht="40.799999999999997">
      <c r="A184" s="6">
        <v>43441.747175925921</v>
      </c>
      <c r="B184" s="7" t="str">
        <f>HYPERLINK("https://twitter.com/masini_mkp","@masini_mkp")</f>
        <v>@masini_mkp</v>
      </c>
      <c r="C184" s="8" t="s">
        <v>800</v>
      </c>
      <c r="D184" s="9" t="s">
        <v>801</v>
      </c>
      <c r="E184" s="10" t="str">
        <f>HYPERLINK("https://twitter.com/masini_mkp/status/1071085914775056390","1071085914775056390")</f>
        <v>1071085914775056390</v>
      </c>
      <c r="F184" s="12"/>
      <c r="G184" s="12"/>
      <c r="H184" s="12"/>
      <c r="I184" s="13">
        <v>0</v>
      </c>
      <c r="J184" s="13">
        <v>0</v>
      </c>
      <c r="K184" s="14" t="str">
        <f t="shared" ref="K184:K185" si="33">HYPERLINK("http://twitter.com/download/android","Twitter for Android")</f>
        <v>Twitter for Android</v>
      </c>
      <c r="L184" s="13">
        <v>324</v>
      </c>
      <c r="M184" s="13">
        <v>169</v>
      </c>
      <c r="N184" s="13">
        <v>6</v>
      </c>
      <c r="O184" s="15"/>
      <c r="P184" s="6">
        <v>40873.765833333331</v>
      </c>
      <c r="Q184" s="16" t="s">
        <v>803</v>
      </c>
      <c r="R184" s="17" t="s">
        <v>804</v>
      </c>
      <c r="S184" s="12"/>
      <c r="T184" s="12"/>
      <c r="U184" s="10" t="str">
        <f>HYPERLINK("https://pbs.twimg.com/profile_images/895764738109579265/kkv8qAeg.jpg","View")</f>
        <v>View</v>
      </c>
    </row>
    <row r="185" spans="1:21" ht="30.6">
      <c r="A185" s="6">
        <v>43441.74155092593</v>
      </c>
      <c r="B185" s="7" t="str">
        <f>HYPERLINK("https://twitter.com/Lafrontissa","@Lafrontissa")</f>
        <v>@Lafrontissa</v>
      </c>
      <c r="C185" s="8" t="s">
        <v>807</v>
      </c>
      <c r="D185" s="9" t="s">
        <v>808</v>
      </c>
      <c r="E185" s="10" t="str">
        <f>HYPERLINK("https://twitter.com/Lafrontissa/status/1071083875592478721","1071083875592478721")</f>
        <v>1071083875592478721</v>
      </c>
      <c r="F185" s="11" t="s">
        <v>809</v>
      </c>
      <c r="G185" s="12"/>
      <c r="H185" s="12"/>
      <c r="I185" s="13">
        <v>0</v>
      </c>
      <c r="J185" s="13">
        <v>0</v>
      </c>
      <c r="K185" s="14" t="str">
        <f t="shared" si="33"/>
        <v>Twitter for Android</v>
      </c>
      <c r="L185" s="13">
        <v>36</v>
      </c>
      <c r="M185" s="13">
        <v>56</v>
      </c>
      <c r="N185" s="13">
        <v>0</v>
      </c>
      <c r="O185" s="15"/>
      <c r="P185" s="6">
        <v>40800.725914351853</v>
      </c>
      <c r="Q185" s="12"/>
      <c r="R185" s="20"/>
      <c r="S185" s="12"/>
      <c r="T185" s="12"/>
      <c r="U185" s="19" t="s">
        <v>359</v>
      </c>
    </row>
    <row r="186" spans="1:21" ht="51">
      <c r="A186" s="6">
        <v>43441.736250000002</v>
      </c>
      <c r="B186" s="7" t="str">
        <f>HYPERLINK("https://twitter.com/eslatarde","@eslatarde")</f>
        <v>@eslatarde</v>
      </c>
      <c r="C186" s="8" t="s">
        <v>810</v>
      </c>
      <c r="D186" s="9" t="s">
        <v>811</v>
      </c>
      <c r="E186" s="10" t="str">
        <f>HYPERLINK("https://twitter.com/eslatarde/status/1071081955146588161","1071081955146588161")</f>
        <v>1071081955146588161</v>
      </c>
      <c r="F186" s="12"/>
      <c r="G186" s="12"/>
      <c r="H186" s="12"/>
      <c r="I186" s="13">
        <v>58</v>
      </c>
      <c r="J186" s="13">
        <v>164</v>
      </c>
      <c r="K186" s="14" t="str">
        <f>HYPERLINK("http://twitter.com","Twitter Web Client")</f>
        <v>Twitter Web Client</v>
      </c>
      <c r="L186" s="13">
        <v>22059</v>
      </c>
      <c r="M186" s="13">
        <v>1193</v>
      </c>
      <c r="N186" s="13">
        <v>183</v>
      </c>
      <c r="O186" s="19" t="s">
        <v>44</v>
      </c>
      <c r="P186" s="6">
        <v>41487.700925925928</v>
      </c>
      <c r="Q186" s="12"/>
      <c r="R186" s="17" t="s">
        <v>812</v>
      </c>
      <c r="S186" s="11" t="s">
        <v>813</v>
      </c>
      <c r="T186" s="12"/>
      <c r="U186" s="10" t="str">
        <f>HYPERLINK("https://pbs.twimg.com/profile_images/430657794740457472/J8u4e-W3.jpeg","View")</f>
        <v>View</v>
      </c>
    </row>
    <row r="187" spans="1:21" ht="30.6">
      <c r="A187" s="6">
        <v>43441.734328703707</v>
      </c>
      <c r="B187" s="7" t="str">
        <f>HYPERLINK("https://twitter.com/JosepBorreIlF","@JosepBorreIlF")</f>
        <v>@JosepBorreIlF</v>
      </c>
      <c r="C187" s="8" t="s">
        <v>814</v>
      </c>
      <c r="D187" s="9" t="s">
        <v>815</v>
      </c>
      <c r="E187" s="10" t="str">
        <f>HYPERLINK("https://twitter.com/JosepBorreIlF/status/1071081257898033152","1071081257898033152")</f>
        <v>1071081257898033152</v>
      </c>
      <c r="F187" s="12"/>
      <c r="G187" s="12"/>
      <c r="H187" s="12"/>
      <c r="I187" s="13">
        <v>0</v>
      </c>
      <c r="J187" s="13">
        <v>0</v>
      </c>
      <c r="K187" s="14" t="str">
        <f t="shared" ref="K187:K188" si="34">HYPERLINK("http://twitter.com/download/iphone","Twitter for iPhone")</f>
        <v>Twitter for iPhone</v>
      </c>
      <c r="L187" s="13">
        <v>463</v>
      </c>
      <c r="M187" s="13">
        <v>701</v>
      </c>
      <c r="N187" s="13">
        <v>1</v>
      </c>
      <c r="O187" s="15"/>
      <c r="P187" s="6">
        <v>43263.524606481486</v>
      </c>
      <c r="Q187" s="16" t="s">
        <v>816</v>
      </c>
      <c r="R187" s="17" t="s">
        <v>817</v>
      </c>
      <c r="S187" s="12"/>
      <c r="T187" s="12"/>
      <c r="U187" s="10" t="str">
        <f>HYPERLINK("https://pbs.twimg.com/profile_images/1006488267229990912/dofb4EE3.jpg","View")</f>
        <v>View</v>
      </c>
    </row>
    <row r="188" spans="1:21" ht="20.399999999999999">
      <c r="A188" s="6">
        <v>43441.731874999998</v>
      </c>
      <c r="B188" s="7" t="str">
        <f>HYPERLINK("https://twitter.com/eguren_","@eguren_")</f>
        <v>@eguren_</v>
      </c>
      <c r="C188" s="8" t="s">
        <v>818</v>
      </c>
      <c r="D188" s="9" t="s">
        <v>273</v>
      </c>
      <c r="E188" s="10" t="str">
        <f>HYPERLINK("https://twitter.com/eguren_/status/1071080371771584513","1071080371771584513")</f>
        <v>1071080371771584513</v>
      </c>
      <c r="F188" s="11" t="s">
        <v>144</v>
      </c>
      <c r="G188" s="12"/>
      <c r="H188" s="12"/>
      <c r="I188" s="13">
        <v>0</v>
      </c>
      <c r="J188" s="13">
        <v>0</v>
      </c>
      <c r="K188" s="14" t="str">
        <f t="shared" si="34"/>
        <v>Twitter for iPhone</v>
      </c>
      <c r="L188" s="13">
        <v>53</v>
      </c>
      <c r="M188" s="13">
        <v>244</v>
      </c>
      <c r="N188" s="13">
        <v>8</v>
      </c>
      <c r="O188" s="15"/>
      <c r="P188" s="6">
        <v>41614.394907407404</v>
      </c>
      <c r="Q188" s="16" t="s">
        <v>572</v>
      </c>
      <c r="R188" s="17" t="s">
        <v>819</v>
      </c>
      <c r="S188" s="12"/>
      <c r="T188" s="12"/>
      <c r="U188" s="19" t="s">
        <v>359</v>
      </c>
    </row>
    <row r="189" spans="1:21" ht="30.6">
      <c r="A189" s="6">
        <v>43441.727870370371</v>
      </c>
      <c r="B189" s="7" t="str">
        <f>HYPERLINK("https://twitter.com/ajm74ajm","@ajm74ajm")</f>
        <v>@ajm74ajm</v>
      </c>
      <c r="C189" s="8" t="s">
        <v>820</v>
      </c>
      <c r="D189" s="9" t="s">
        <v>143</v>
      </c>
      <c r="E189" s="10" t="str">
        <f>HYPERLINK("https://twitter.com/ajm74ajm/status/1071078917186961408","1071078917186961408")</f>
        <v>1071078917186961408</v>
      </c>
      <c r="F189" s="11" t="s">
        <v>144</v>
      </c>
      <c r="G189" s="12"/>
      <c r="H189" s="12"/>
      <c r="I189" s="13">
        <v>1</v>
      </c>
      <c r="J189" s="13">
        <v>1</v>
      </c>
      <c r="K189" s="14" t="str">
        <f t="shared" ref="K189:K192" si="35">HYPERLINK("http://twitter.com/download/android","Twitter for Android")</f>
        <v>Twitter for Android</v>
      </c>
      <c r="L189" s="13">
        <v>632</v>
      </c>
      <c r="M189" s="13">
        <v>728</v>
      </c>
      <c r="N189" s="13">
        <v>3</v>
      </c>
      <c r="O189" s="15"/>
      <c r="P189" s="6">
        <v>42632.990706018521</v>
      </c>
      <c r="Q189" s="16" t="s">
        <v>167</v>
      </c>
      <c r="R189" s="17" t="s">
        <v>821</v>
      </c>
      <c r="S189" s="12"/>
      <c r="T189" s="12"/>
      <c r="U189" s="10" t="str">
        <f>HYPERLINK("https://pbs.twimg.com/profile_images/1014964583436574720/mJWiJwv9.jpg","View")</f>
        <v>View</v>
      </c>
    </row>
    <row r="190" spans="1:21" ht="13.2">
      <c r="A190" s="6">
        <v>43441.726967592593</v>
      </c>
      <c r="B190" s="7" t="str">
        <f>HYPERLINK("https://twitter.com/TheOnlyWaifu","@TheOnlyWaifu")</f>
        <v>@TheOnlyWaifu</v>
      </c>
      <c r="C190" s="8" t="s">
        <v>822</v>
      </c>
      <c r="D190" s="9" t="s">
        <v>823</v>
      </c>
      <c r="E190" s="10" t="str">
        <f>HYPERLINK("https://twitter.com/TheOnlyWaifu/status/1071078590870159361","1071078590870159361")</f>
        <v>1071078590870159361</v>
      </c>
      <c r="F190" s="12"/>
      <c r="G190" s="12"/>
      <c r="H190" s="12"/>
      <c r="I190" s="13">
        <v>0</v>
      </c>
      <c r="J190" s="13">
        <v>1</v>
      </c>
      <c r="K190" s="14" t="str">
        <f t="shared" si="35"/>
        <v>Twitter for Android</v>
      </c>
      <c r="L190" s="13">
        <v>216</v>
      </c>
      <c r="M190" s="13">
        <v>58</v>
      </c>
      <c r="N190" s="13">
        <v>4</v>
      </c>
      <c r="O190" s="15"/>
      <c r="P190" s="6">
        <v>40793.946145833332</v>
      </c>
      <c r="Q190" s="16" t="s">
        <v>824</v>
      </c>
      <c r="R190" s="17" t="s">
        <v>825</v>
      </c>
      <c r="S190" s="12"/>
      <c r="T190" s="12"/>
      <c r="U190" s="10" t="str">
        <f>HYPERLINK("https://pbs.twimg.com/profile_images/1059724140578566144/u3x0TFgM.jpg","View")</f>
        <v>View</v>
      </c>
    </row>
    <row r="191" spans="1:21" ht="20.399999999999999">
      <c r="A191" s="6">
        <v>43441.716782407406</v>
      </c>
      <c r="B191" s="7" t="str">
        <f>HYPERLINK("https://twitter.com/diegocruzblog","@diegocruzblog")</f>
        <v>@diegocruzblog</v>
      </c>
      <c r="C191" s="8" t="s">
        <v>649</v>
      </c>
      <c r="D191" s="9" t="s">
        <v>826</v>
      </c>
      <c r="E191" s="10" t="str">
        <f>HYPERLINK("https://twitter.com/diegocruzblog/status/1071074899983253505","1071074899983253505")</f>
        <v>1071074899983253505</v>
      </c>
      <c r="F191" s="11" t="s">
        <v>127</v>
      </c>
      <c r="G191" s="12"/>
      <c r="H191" s="12"/>
      <c r="I191" s="13">
        <v>0</v>
      </c>
      <c r="J191" s="13">
        <v>0</v>
      </c>
      <c r="K191" s="14" t="str">
        <f t="shared" si="35"/>
        <v>Twitter for Android</v>
      </c>
      <c r="L191" s="13">
        <v>24191</v>
      </c>
      <c r="M191" s="13">
        <v>22088</v>
      </c>
      <c r="N191" s="13">
        <v>538</v>
      </c>
      <c r="O191" s="15"/>
      <c r="P191" s="6">
        <v>39465.420439814814</v>
      </c>
      <c r="Q191" s="16" t="s">
        <v>655</v>
      </c>
      <c r="R191" s="17" t="s">
        <v>656</v>
      </c>
      <c r="S191" s="11" t="s">
        <v>657</v>
      </c>
      <c r="T191" s="12"/>
      <c r="U191" s="10" t="str">
        <f>HYPERLINK("https://pbs.twimg.com/profile_images/957406979936448513/tF4hyXi5.jpg","View")</f>
        <v>View</v>
      </c>
    </row>
    <row r="192" spans="1:21" ht="40.799999999999997">
      <c r="A192" s="6">
        <v>43441.715243055558</v>
      </c>
      <c r="B192" s="7" t="str">
        <f>HYPERLINK("https://twitter.com/socalvaro","@socalvaro")</f>
        <v>@socalvaro</v>
      </c>
      <c r="C192" s="8" t="s">
        <v>827</v>
      </c>
      <c r="D192" s="9" t="s">
        <v>828</v>
      </c>
      <c r="E192" s="10" t="str">
        <f>HYPERLINK("https://twitter.com/socalvaro/status/1071074341675257858","1071074341675257858")</f>
        <v>1071074341675257858</v>
      </c>
      <c r="F192" s="12"/>
      <c r="G192" s="12"/>
      <c r="H192" s="12"/>
      <c r="I192" s="13">
        <v>0</v>
      </c>
      <c r="J192" s="13">
        <v>4</v>
      </c>
      <c r="K192" s="14" t="str">
        <f t="shared" si="35"/>
        <v>Twitter for Android</v>
      </c>
      <c r="L192" s="13">
        <v>1844</v>
      </c>
      <c r="M192" s="13">
        <v>1585</v>
      </c>
      <c r="N192" s="13">
        <v>21</v>
      </c>
      <c r="O192" s="15"/>
      <c r="P192" s="6">
        <v>41384.953206018516</v>
      </c>
      <c r="Q192" s="16" t="s">
        <v>829</v>
      </c>
      <c r="R192" s="17" t="s">
        <v>830</v>
      </c>
      <c r="S192" s="11" t="s">
        <v>831</v>
      </c>
      <c r="T192" s="12"/>
      <c r="U192" s="10" t="str">
        <f>HYPERLINK("https://pbs.twimg.com/profile_images/933221816071417856/bGs0NlmF.jpg","View")</f>
        <v>View</v>
      </c>
    </row>
    <row r="193" spans="1:21" ht="40.799999999999997">
      <c r="A193" s="6">
        <v>43441.711875000001</v>
      </c>
      <c r="B193" s="7" t="str">
        <f>HYPERLINK("https://twitter.com/La_Cerca","@La_Cerca")</f>
        <v>@La_Cerca</v>
      </c>
      <c r="C193" s="8" t="s">
        <v>832</v>
      </c>
      <c r="D193" s="9" t="s">
        <v>833</v>
      </c>
      <c r="E193" s="10" t="str">
        <f>HYPERLINK("https://twitter.com/La_Cerca/status/1071073120956620801","1071073120956620801")</f>
        <v>1071073120956620801</v>
      </c>
      <c r="F193" s="11" t="s">
        <v>834</v>
      </c>
      <c r="G193" s="12"/>
      <c r="H193" s="12"/>
      <c r="I193" s="13">
        <v>0</v>
      </c>
      <c r="J193" s="13">
        <v>0</v>
      </c>
      <c r="K193" s="14" t="str">
        <f>HYPERLINK("http://www.lacerca.com","La Cerca")</f>
        <v>La Cerca</v>
      </c>
      <c r="L193" s="13">
        <v>18980</v>
      </c>
      <c r="M193" s="13">
        <v>4970</v>
      </c>
      <c r="N193" s="13">
        <v>337</v>
      </c>
      <c r="O193" s="19" t="s">
        <v>44</v>
      </c>
      <c r="P193" s="6">
        <v>40007.429652777777</v>
      </c>
      <c r="Q193" s="16" t="s">
        <v>163</v>
      </c>
      <c r="R193" s="17" t="s">
        <v>835</v>
      </c>
      <c r="S193" s="11" t="s">
        <v>836</v>
      </c>
      <c r="T193" s="12"/>
      <c r="U193" s="10" t="str">
        <f>HYPERLINK("https://pbs.twimg.com/profile_images/1046758213843111937/MFsiNfy0.jpg","View")</f>
        <v>View</v>
      </c>
    </row>
    <row r="194" spans="1:21" ht="30.6">
      <c r="A194" s="6">
        <v>43441.710023148145</v>
      </c>
      <c r="B194" s="7" t="str">
        <f>HYPERLINK("https://twitter.com/GonzaloGSz","@GonzaloGSz")</f>
        <v>@GonzaloGSz</v>
      </c>
      <c r="C194" s="8" t="s">
        <v>837</v>
      </c>
      <c r="D194" s="9" t="s">
        <v>838</v>
      </c>
      <c r="E194" s="10" t="str">
        <f>HYPERLINK("https://twitter.com/GonzaloGSz/status/1071072452749467649","1071072452749467649")</f>
        <v>1071072452749467649</v>
      </c>
      <c r="F194" s="16" t="s">
        <v>839</v>
      </c>
      <c r="G194" s="12"/>
      <c r="H194" s="12"/>
      <c r="I194" s="13">
        <v>0</v>
      </c>
      <c r="J194" s="13">
        <v>3</v>
      </c>
      <c r="K194" s="14" t="str">
        <f>HYPERLINK("http://twitter.com/download/android","Twitter for Android")</f>
        <v>Twitter for Android</v>
      </c>
      <c r="L194" s="13">
        <v>106</v>
      </c>
      <c r="M194" s="13">
        <v>437</v>
      </c>
      <c r="N194" s="13">
        <v>0</v>
      </c>
      <c r="O194" s="15"/>
      <c r="P194" s="6">
        <v>42656.610995370371</v>
      </c>
      <c r="Q194" s="16" t="s">
        <v>840</v>
      </c>
      <c r="R194" s="17" t="s">
        <v>841</v>
      </c>
      <c r="S194" s="11" t="s">
        <v>842</v>
      </c>
      <c r="T194" s="12"/>
      <c r="U194" s="10" t="str">
        <f>HYPERLINK("https://pbs.twimg.com/profile_images/924669800554598401/5mR9dUIC.jpg","View")</f>
        <v>View</v>
      </c>
    </row>
    <row r="195" spans="1:21" ht="40.799999999999997">
      <c r="A195" s="6">
        <v>43441.699907407412</v>
      </c>
      <c r="B195" s="7" t="str">
        <f t="shared" ref="B195:B196" si="36">HYPERLINK("https://twitter.com/mariano9605","@mariano9605")</f>
        <v>@mariano9605</v>
      </c>
      <c r="C195" s="8" t="s">
        <v>843</v>
      </c>
      <c r="D195" s="9" t="s">
        <v>844</v>
      </c>
      <c r="E195" s="10" t="str">
        <f>HYPERLINK("https://twitter.com/mariano9605/status/1071068786135105536","1071068786135105536")</f>
        <v>1071068786135105536</v>
      </c>
      <c r="F195" s="11" t="s">
        <v>665</v>
      </c>
      <c r="G195" s="12"/>
      <c r="H195" s="12"/>
      <c r="I195" s="13">
        <v>9</v>
      </c>
      <c r="J195" s="13">
        <v>4</v>
      </c>
      <c r="K195" s="14" t="str">
        <f t="shared" ref="K195:K196" si="37">HYPERLINK("http://twitter.com","Twitter Web Client")</f>
        <v>Twitter Web Client</v>
      </c>
      <c r="L195" s="13">
        <v>56286</v>
      </c>
      <c r="M195" s="13">
        <v>54122</v>
      </c>
      <c r="N195" s="13">
        <v>303</v>
      </c>
      <c r="O195" s="15"/>
      <c r="P195" s="6">
        <v>40869.915659722225</v>
      </c>
      <c r="Q195" s="16" t="s">
        <v>845</v>
      </c>
      <c r="R195" s="17" t="s">
        <v>846</v>
      </c>
      <c r="S195" s="12"/>
      <c r="T195" s="12"/>
      <c r="U195" s="10" t="str">
        <f t="shared" ref="U195:U196" si="38">HYPERLINK("https://pbs.twimg.com/profile_images/427860629525757952/ohW7e5Pf.jpeg","View")</f>
        <v>View</v>
      </c>
    </row>
    <row r="196" spans="1:21" ht="40.799999999999997">
      <c r="A196" s="6">
        <v>43441.699317129634</v>
      </c>
      <c r="B196" s="7" t="str">
        <f t="shared" si="36"/>
        <v>@mariano9605</v>
      </c>
      <c r="C196" s="8" t="s">
        <v>843</v>
      </c>
      <c r="D196" s="9" t="s">
        <v>847</v>
      </c>
      <c r="E196" s="10" t="str">
        <f>HYPERLINK("https://twitter.com/mariano9605/status/1071068572892442625","1071068572892442625")</f>
        <v>1071068572892442625</v>
      </c>
      <c r="F196" s="11" t="s">
        <v>144</v>
      </c>
      <c r="G196" s="12"/>
      <c r="H196" s="12"/>
      <c r="I196" s="13">
        <v>31</v>
      </c>
      <c r="J196" s="13">
        <v>16</v>
      </c>
      <c r="K196" s="14" t="str">
        <f t="shared" si="37"/>
        <v>Twitter Web Client</v>
      </c>
      <c r="L196" s="13">
        <v>56286</v>
      </c>
      <c r="M196" s="13">
        <v>54122</v>
      </c>
      <c r="N196" s="13">
        <v>303</v>
      </c>
      <c r="O196" s="15"/>
      <c r="P196" s="6">
        <v>40869.915659722225</v>
      </c>
      <c r="Q196" s="16" t="s">
        <v>845</v>
      </c>
      <c r="R196" s="17" t="s">
        <v>846</v>
      </c>
      <c r="S196" s="12"/>
      <c r="T196" s="12"/>
      <c r="U196" s="10" t="str">
        <f t="shared" si="38"/>
        <v>View</v>
      </c>
    </row>
    <row r="197" spans="1:21" ht="40.799999999999997">
      <c r="A197" s="6">
        <v>43441.697731481487</v>
      </c>
      <c r="B197" s="7" t="str">
        <f>HYPERLINK("https://twitter.com/caval100","@caval100")</f>
        <v>@caval100</v>
      </c>
      <c r="C197" s="8" t="s">
        <v>72</v>
      </c>
      <c r="D197" s="9" t="s">
        <v>848</v>
      </c>
      <c r="E197" s="10" t="str">
        <f>HYPERLINK("https://twitter.com/caval100/status/1071067994678276097","1071067994678276097")</f>
        <v>1071067994678276097</v>
      </c>
      <c r="F197" s="11" t="s">
        <v>849</v>
      </c>
      <c r="G197" s="11" t="s">
        <v>850</v>
      </c>
      <c r="H197" s="12"/>
      <c r="I197" s="13">
        <v>1</v>
      </c>
      <c r="J197" s="13">
        <v>0</v>
      </c>
      <c r="K197" s="14" t="str">
        <f t="shared" ref="K197:K198" si="39">HYPERLINK("http://twitter.com/download/android","Twitter for Android")</f>
        <v>Twitter for Android</v>
      </c>
      <c r="L197" s="13">
        <v>119343</v>
      </c>
      <c r="M197" s="13">
        <v>94000</v>
      </c>
      <c r="N197" s="13">
        <v>982</v>
      </c>
      <c r="O197" s="15"/>
      <c r="P197" s="6">
        <v>40079.437094907407</v>
      </c>
      <c r="Q197" s="16" t="s">
        <v>75</v>
      </c>
      <c r="R197" s="17" t="s">
        <v>76</v>
      </c>
      <c r="S197" s="11" t="s">
        <v>77</v>
      </c>
      <c r="T197" s="12"/>
      <c r="U197" s="10" t="str">
        <f>HYPERLINK("https://pbs.twimg.com/profile_images/965350678301429760/uvGI7g8U.jpg","View")</f>
        <v>View</v>
      </c>
    </row>
    <row r="198" spans="1:21" ht="30.6">
      <c r="A198" s="6">
        <v>43441.696053240739</v>
      </c>
      <c r="B198" s="7" t="str">
        <f>HYPERLINK("https://twitter.com/MariaCalleSanti","@MariaCalleSanti")</f>
        <v>@MariaCalleSanti</v>
      </c>
      <c r="C198" s="8" t="s">
        <v>851</v>
      </c>
      <c r="D198" s="9" t="s">
        <v>852</v>
      </c>
      <c r="E198" s="10" t="str">
        <f>HYPERLINK("https://twitter.com/MariaCalleSanti/status/1071067389314416642","1071067389314416642")</f>
        <v>1071067389314416642</v>
      </c>
      <c r="F198" s="11" t="s">
        <v>853</v>
      </c>
      <c r="G198" s="12"/>
      <c r="H198" s="12"/>
      <c r="I198" s="13">
        <v>0</v>
      </c>
      <c r="J198" s="13">
        <v>0</v>
      </c>
      <c r="K198" s="14" t="str">
        <f t="shared" si="39"/>
        <v>Twitter for Android</v>
      </c>
      <c r="L198" s="13">
        <v>4350</v>
      </c>
      <c r="M198" s="13">
        <v>4713</v>
      </c>
      <c r="N198" s="13">
        <v>106</v>
      </c>
      <c r="O198" s="15"/>
      <c r="P198" s="6">
        <v>40713.848495370374</v>
      </c>
      <c r="Q198" s="16" t="s">
        <v>191</v>
      </c>
      <c r="R198" s="17" t="s">
        <v>855</v>
      </c>
      <c r="S198" s="12"/>
      <c r="T198" s="12"/>
      <c r="U198" s="10" t="str">
        <f>HYPERLINK("https://pbs.twimg.com/profile_images/1071167899086319616/UyXjMhdz.jpg","View")</f>
        <v>View</v>
      </c>
    </row>
    <row r="199" spans="1:21" ht="51">
      <c r="A199" s="6">
        <v>43441.690439814818</v>
      </c>
      <c r="B199" s="7" t="str">
        <f>HYPERLINK("https://twitter.com/marianozurdo","@marianozurdo")</f>
        <v>@marianozurdo</v>
      </c>
      <c r="C199" s="8" t="s">
        <v>856</v>
      </c>
      <c r="D199" s="9" t="s">
        <v>857</v>
      </c>
      <c r="E199" s="10" t="str">
        <f>HYPERLINK("https://twitter.com/marianozurdo/status/1071065354049331200","1071065354049331200")</f>
        <v>1071065354049331200</v>
      </c>
      <c r="F199" s="12"/>
      <c r="G199" s="12"/>
      <c r="H199" s="12"/>
      <c r="I199" s="13">
        <v>0</v>
      </c>
      <c r="J199" s="13">
        <v>0</v>
      </c>
      <c r="K199" s="14" t="str">
        <f>HYPERLINK("http://www.facebook.com/twitter","Facebook")</f>
        <v>Facebook</v>
      </c>
      <c r="L199" s="13">
        <v>959</v>
      </c>
      <c r="M199" s="13">
        <v>1646</v>
      </c>
      <c r="N199" s="13">
        <v>51</v>
      </c>
      <c r="O199" s="15"/>
      <c r="P199" s="6">
        <v>40265.735914351855</v>
      </c>
      <c r="Q199" s="16" t="s">
        <v>75</v>
      </c>
      <c r="R199" s="17" t="s">
        <v>858</v>
      </c>
      <c r="S199" s="11" t="s">
        <v>859</v>
      </c>
      <c r="T199" s="12"/>
      <c r="U199" s="10" t="str">
        <f>HYPERLINK("https://pbs.twimg.com/profile_images/602748506160439296/o2IL_6M6.jpg","View")</f>
        <v>View</v>
      </c>
    </row>
    <row r="200" spans="1:21" ht="20.399999999999999">
      <c r="A200" s="6">
        <v>43441.686400462961</v>
      </c>
      <c r="B200" s="7" t="str">
        <f>HYPERLINK("https://twitter.com/dePiedraMequedo","@dePiedraMequedo")</f>
        <v>@dePiedraMequedo</v>
      </c>
      <c r="C200" s="8" t="s">
        <v>860</v>
      </c>
      <c r="D200" s="9" t="s">
        <v>143</v>
      </c>
      <c r="E200" s="10" t="str">
        <f>HYPERLINK("https://twitter.com/dePiedraMequedo/status/1071063891688521728","1071063891688521728")</f>
        <v>1071063891688521728</v>
      </c>
      <c r="F200" s="11" t="s">
        <v>144</v>
      </c>
      <c r="G200" s="12"/>
      <c r="H200" s="12"/>
      <c r="I200" s="13">
        <v>0</v>
      </c>
      <c r="J200" s="13">
        <v>0</v>
      </c>
      <c r="K200" s="14" t="str">
        <f>HYPERLINK("http://twitter.com","Twitter Web Client")</f>
        <v>Twitter Web Client</v>
      </c>
      <c r="L200" s="13">
        <v>134</v>
      </c>
      <c r="M200" s="13">
        <v>385</v>
      </c>
      <c r="N200" s="13">
        <v>0</v>
      </c>
      <c r="O200" s="15"/>
      <c r="P200" s="6">
        <v>41366.553402777776</v>
      </c>
      <c r="Q200" s="12"/>
      <c r="R200" s="20"/>
      <c r="S200" s="12"/>
      <c r="T200" s="12"/>
      <c r="U200" s="10" t="str">
        <f>HYPERLINK("https://pbs.twimg.com/profile_images/563763885996404736/IWLQwgaL.jpeg","View")</f>
        <v>View</v>
      </c>
    </row>
    <row r="201" spans="1:21" ht="30.6">
      <c r="A201" s="6">
        <v>43441.685127314813</v>
      </c>
      <c r="B201" s="7" t="str">
        <f>HYPERLINK("https://twitter.com/publico_es","@publico_es")</f>
        <v>@publico_es</v>
      </c>
      <c r="C201" s="8" t="s">
        <v>862</v>
      </c>
      <c r="D201" s="9" t="s">
        <v>863</v>
      </c>
      <c r="E201" s="10" t="str">
        <f>HYPERLINK("https://twitter.com/publico_es/status/1071063429757263872","1071063429757263872")</f>
        <v>1071063429757263872</v>
      </c>
      <c r="F201" s="11" t="s">
        <v>864</v>
      </c>
      <c r="G201" s="12"/>
      <c r="H201" s="12"/>
      <c r="I201" s="13">
        <v>25</v>
      </c>
      <c r="J201" s="13">
        <v>8</v>
      </c>
      <c r="K201" s="14" t="str">
        <f>HYPERLINK("https://about.twitter.com/products/tweetdeck","TweetDeck")</f>
        <v>TweetDeck</v>
      </c>
      <c r="L201" s="13">
        <v>913667</v>
      </c>
      <c r="M201" s="13">
        <v>1457</v>
      </c>
      <c r="N201" s="13">
        <v>14845</v>
      </c>
      <c r="O201" s="19" t="s">
        <v>44</v>
      </c>
      <c r="P201" s="6">
        <v>39779.559525462959</v>
      </c>
      <c r="Q201" s="16" t="s">
        <v>109</v>
      </c>
      <c r="R201" s="17" t="s">
        <v>865</v>
      </c>
      <c r="S201" s="11" t="s">
        <v>866</v>
      </c>
      <c r="T201" s="12"/>
      <c r="U201" s="10" t="str">
        <f>HYPERLINK("https://pbs.twimg.com/profile_images/1048242435682422786/FdzZWHU8.jpg","View")</f>
        <v>View</v>
      </c>
    </row>
    <row r="202" spans="1:21" ht="20.399999999999999">
      <c r="A202" s="6">
        <v>43441.683564814812</v>
      </c>
      <c r="B202" s="7" t="str">
        <f>HYPERLINK("https://twitter.com/dovisa41","@dovisa41")</f>
        <v>@dovisa41</v>
      </c>
      <c r="C202" s="8" t="s">
        <v>867</v>
      </c>
      <c r="D202" s="9" t="s">
        <v>126</v>
      </c>
      <c r="E202" s="10" t="str">
        <f>HYPERLINK("https://twitter.com/dovisa41/status/1071062860669837312","1071062860669837312")</f>
        <v>1071062860669837312</v>
      </c>
      <c r="F202" s="11" t="s">
        <v>127</v>
      </c>
      <c r="G202" s="12"/>
      <c r="H202" s="12"/>
      <c r="I202" s="13">
        <v>0</v>
      </c>
      <c r="J202" s="13">
        <v>0</v>
      </c>
      <c r="K202" s="14" t="str">
        <f>HYPERLINK("http://www.facebook.com/twitter","Facebook")</f>
        <v>Facebook</v>
      </c>
      <c r="L202" s="13">
        <v>56</v>
      </c>
      <c r="M202" s="13">
        <v>355</v>
      </c>
      <c r="N202" s="13">
        <v>4</v>
      </c>
      <c r="O202" s="15"/>
      <c r="P202" s="6">
        <v>40680.844965277778</v>
      </c>
      <c r="Q202" s="16" t="s">
        <v>868</v>
      </c>
      <c r="R202" s="20"/>
      <c r="S202" s="12"/>
      <c r="T202" s="12"/>
      <c r="U202" s="10" t="str">
        <f>HYPERLINK("https://pbs.twimg.com/profile_images/2978809473/2c9530adfb08fa4cc660beb4afa8503f.jpeg","View")</f>
        <v>View</v>
      </c>
    </row>
    <row r="203" spans="1:21" ht="20.399999999999999">
      <c r="A203" s="6">
        <v>43441.676759259259</v>
      </c>
      <c r="B203" s="7" t="str">
        <f>HYPERLINK("https://twitter.com/antigona_g","@antigona_g")</f>
        <v>@antigona_g</v>
      </c>
      <c r="C203" s="8" t="s">
        <v>869</v>
      </c>
      <c r="D203" s="9" t="s">
        <v>455</v>
      </c>
      <c r="E203" s="10" t="str">
        <f>HYPERLINK("https://twitter.com/antigona_g/status/1071060394880524288","1071060394880524288")</f>
        <v>1071060394880524288</v>
      </c>
      <c r="F203" s="11" t="s">
        <v>127</v>
      </c>
      <c r="G203" s="12"/>
      <c r="H203" s="12"/>
      <c r="I203" s="13">
        <v>1</v>
      </c>
      <c r="J203" s="13">
        <v>1</v>
      </c>
      <c r="K203" s="14" t="str">
        <f t="shared" ref="K203:K205" si="40">HYPERLINK("http://twitter.com/download/android","Twitter for Android")</f>
        <v>Twitter for Android</v>
      </c>
      <c r="L203" s="13">
        <v>858</v>
      </c>
      <c r="M203" s="13">
        <v>1703</v>
      </c>
      <c r="N203" s="13">
        <v>7</v>
      </c>
      <c r="O203" s="15"/>
      <c r="P203" s="6">
        <v>41220.483749999999</v>
      </c>
      <c r="Q203" s="12"/>
      <c r="R203" s="17" t="s">
        <v>870</v>
      </c>
      <c r="S203" s="12"/>
      <c r="T203" s="12"/>
      <c r="U203" s="10" t="str">
        <f>HYPERLINK("https://pbs.twimg.com/profile_images/975036178754875393/_qm3BiZV.jpg","View")</f>
        <v>View</v>
      </c>
    </row>
    <row r="204" spans="1:21" ht="40.799999999999997">
      <c r="A204" s="6">
        <v>43441.671377314815</v>
      </c>
      <c r="B204" s="7" t="str">
        <f>HYPERLINK("https://twitter.com/LpgpLuis","@LpgpLuis")</f>
        <v>@LpgpLuis</v>
      </c>
      <c r="C204" s="8" t="s">
        <v>871</v>
      </c>
      <c r="D204" s="9" t="s">
        <v>872</v>
      </c>
      <c r="E204" s="10" t="str">
        <f>HYPERLINK("https://twitter.com/LpgpLuis/status/1071058446508789760","1071058446508789760")</f>
        <v>1071058446508789760</v>
      </c>
      <c r="F204" s="12"/>
      <c r="G204" s="11" t="s">
        <v>873</v>
      </c>
      <c r="H204" s="12"/>
      <c r="I204" s="13">
        <v>36</v>
      </c>
      <c r="J204" s="13">
        <v>29</v>
      </c>
      <c r="K204" s="14" t="str">
        <f t="shared" si="40"/>
        <v>Twitter for Android</v>
      </c>
      <c r="L204" s="13">
        <v>9869</v>
      </c>
      <c r="M204" s="13">
        <v>5904</v>
      </c>
      <c r="N204" s="13">
        <v>55</v>
      </c>
      <c r="O204" s="15"/>
      <c r="P204" s="6">
        <v>41973.003344907411</v>
      </c>
      <c r="Q204" s="16" t="s">
        <v>874</v>
      </c>
      <c r="R204" s="17" t="s">
        <v>875</v>
      </c>
      <c r="S204" s="12"/>
      <c r="T204" s="12"/>
      <c r="U204" s="10" t="str">
        <f>HYPERLINK("https://pbs.twimg.com/profile_images/904248372739153921/Qzbx8Yc0.jpg","View")</f>
        <v>View</v>
      </c>
    </row>
    <row r="205" spans="1:21" ht="51">
      <c r="A205" s="6">
        <v>43441.665289351848</v>
      </c>
      <c r="B205" s="7" t="str">
        <f>HYPERLINK("https://twitter.com/AlexJimenezGall","@AlexJimenezGall")</f>
        <v>@AlexJimenezGall</v>
      </c>
      <c r="C205" s="8" t="s">
        <v>876</v>
      </c>
      <c r="D205" s="9" t="s">
        <v>877</v>
      </c>
      <c r="E205" s="10" t="str">
        <f>HYPERLINK("https://twitter.com/AlexJimenezGall/status/1071056238627172360","1071056238627172360")</f>
        <v>1071056238627172360</v>
      </c>
      <c r="F205" s="11" t="s">
        <v>878</v>
      </c>
      <c r="G205" s="11" t="s">
        <v>879</v>
      </c>
      <c r="H205" s="12"/>
      <c r="I205" s="13">
        <v>0</v>
      </c>
      <c r="J205" s="13">
        <v>1</v>
      </c>
      <c r="K205" s="14" t="str">
        <f t="shared" si="40"/>
        <v>Twitter for Android</v>
      </c>
      <c r="L205" s="13">
        <v>157</v>
      </c>
      <c r="M205" s="13">
        <v>81</v>
      </c>
      <c r="N205" s="13">
        <v>2</v>
      </c>
      <c r="O205" s="15"/>
      <c r="P205" s="6">
        <v>40735.725381944445</v>
      </c>
      <c r="Q205" s="16" t="s">
        <v>880</v>
      </c>
      <c r="R205" s="17" t="s">
        <v>881</v>
      </c>
      <c r="S205" s="12"/>
      <c r="T205" s="12"/>
      <c r="U205" s="10" t="str">
        <f>HYPERLINK("https://pbs.twimg.com/profile_images/883694827535310849/UuyQkSqw.jpg","View")</f>
        <v>View</v>
      </c>
    </row>
    <row r="206" spans="1:21" ht="51">
      <c r="A206" s="6">
        <v>43441.662280092598</v>
      </c>
      <c r="B206" s="7" t="str">
        <f>HYPERLINK("https://twitter.com/caval100","@caval100")</f>
        <v>@caval100</v>
      </c>
      <c r="C206" s="8" t="s">
        <v>72</v>
      </c>
      <c r="D206" s="9" t="s">
        <v>545</v>
      </c>
      <c r="E206" s="10" t="str">
        <f>HYPERLINK("https://twitter.com/caval100/status/1071055147315445760","1071055147315445760")</f>
        <v>1071055147315445760</v>
      </c>
      <c r="F206" s="11" t="s">
        <v>546</v>
      </c>
      <c r="G206" s="12"/>
      <c r="H206" s="12"/>
      <c r="I206" s="13">
        <v>0</v>
      </c>
      <c r="J206" s="13">
        <v>2</v>
      </c>
      <c r="K206" s="14" t="str">
        <f>HYPERLINK("http://twitter.com","Twitter Web Client")</f>
        <v>Twitter Web Client</v>
      </c>
      <c r="L206" s="13">
        <v>119343</v>
      </c>
      <c r="M206" s="13">
        <v>94000</v>
      </c>
      <c r="N206" s="13">
        <v>982</v>
      </c>
      <c r="O206" s="15"/>
      <c r="P206" s="6">
        <v>40079.437094907407</v>
      </c>
      <c r="Q206" s="16" t="s">
        <v>75</v>
      </c>
      <c r="R206" s="17" t="s">
        <v>76</v>
      </c>
      <c r="S206" s="11" t="s">
        <v>77</v>
      </c>
      <c r="T206" s="12"/>
      <c r="U206" s="10" t="str">
        <f>HYPERLINK("https://pbs.twimg.com/profile_images/965350678301429760/uvGI7g8U.jpg","View")</f>
        <v>View</v>
      </c>
    </row>
    <row r="207" spans="1:21" ht="40.799999999999997">
      <c r="A207" s="6">
        <v>43441.660555555558</v>
      </c>
      <c r="B207" s="7" t="str">
        <f>HYPERLINK("https://twitter.com/laquintacolumna","@laquintacolumna")</f>
        <v>@laquintacolumna</v>
      </c>
      <c r="C207" s="8" t="s">
        <v>883</v>
      </c>
      <c r="D207" s="9" t="s">
        <v>884</v>
      </c>
      <c r="E207" s="10" t="str">
        <f>HYPERLINK("https://twitter.com/laquintacolumna/status/1071054525442768899","1071054525442768899")</f>
        <v>1071054525442768899</v>
      </c>
      <c r="F207" s="12"/>
      <c r="G207" s="12"/>
      <c r="H207" s="12"/>
      <c r="I207" s="13">
        <v>3</v>
      </c>
      <c r="J207" s="13">
        <v>8</v>
      </c>
      <c r="K207" s="14" t="str">
        <f>HYPERLINK("http://twitter.com/download/android","Twitter for Android")</f>
        <v>Twitter for Android</v>
      </c>
      <c r="L207" s="13">
        <v>41565</v>
      </c>
      <c r="M207" s="13">
        <v>145</v>
      </c>
      <c r="N207" s="13">
        <v>1282</v>
      </c>
      <c r="O207" s="15"/>
      <c r="P207" s="6">
        <v>39568.465937499997</v>
      </c>
      <c r="Q207" s="16" t="s">
        <v>563</v>
      </c>
      <c r="R207" s="17" t="s">
        <v>885</v>
      </c>
      <c r="S207" s="12"/>
      <c r="T207" s="12"/>
      <c r="U207" s="10" t="str">
        <f>HYPERLINK("https://pbs.twimg.com/profile_images/1058117934525149184/yaVFD3Ng.jpg","View")</f>
        <v>View</v>
      </c>
    </row>
    <row r="208" spans="1:21" ht="40.799999999999997">
      <c r="A208" s="6">
        <v>43441.660254629634</v>
      </c>
      <c r="B208" s="7" t="str">
        <f>HYPERLINK("https://twitter.com/caval100","@caval100")</f>
        <v>@caval100</v>
      </c>
      <c r="C208" s="8" t="s">
        <v>72</v>
      </c>
      <c r="D208" s="9" t="s">
        <v>73</v>
      </c>
      <c r="E208" s="10" t="str">
        <f>HYPERLINK("https://twitter.com/caval100/status/1071054415703040000","1071054415703040000")</f>
        <v>1071054415703040000</v>
      </c>
      <c r="F208" s="11" t="s">
        <v>74</v>
      </c>
      <c r="G208" s="12"/>
      <c r="H208" s="12"/>
      <c r="I208" s="13">
        <v>0</v>
      </c>
      <c r="J208" s="13">
        <v>3</v>
      </c>
      <c r="K208" s="14" t="str">
        <f>HYPERLINK("http://twitter.com","Twitter Web Client")</f>
        <v>Twitter Web Client</v>
      </c>
      <c r="L208" s="13">
        <v>119343</v>
      </c>
      <c r="M208" s="13">
        <v>94000</v>
      </c>
      <c r="N208" s="13">
        <v>982</v>
      </c>
      <c r="O208" s="15"/>
      <c r="P208" s="6">
        <v>40079.437094907407</v>
      </c>
      <c r="Q208" s="16" t="s">
        <v>75</v>
      </c>
      <c r="R208" s="17" t="s">
        <v>76</v>
      </c>
      <c r="S208" s="11" t="s">
        <v>77</v>
      </c>
      <c r="T208" s="12"/>
      <c r="U208" s="10" t="str">
        <f>HYPERLINK("https://pbs.twimg.com/profile_images/965350678301429760/uvGI7g8U.jpg","View")</f>
        <v>View</v>
      </c>
    </row>
    <row r="209" spans="1:21" ht="13.2">
      <c r="A209" s="6">
        <v>43441.659664351857</v>
      </c>
      <c r="B209" s="7" t="str">
        <f>HYPERLINK("https://twitter.com/LoCyber","@LoCyber")</f>
        <v>@LoCyber</v>
      </c>
      <c r="C209" s="8" t="s">
        <v>886</v>
      </c>
      <c r="D209" s="9" t="s">
        <v>887</v>
      </c>
      <c r="E209" s="10" t="str">
        <f>HYPERLINK("https://twitter.com/LoCyber/status/1071054203454279681","1071054203454279681")</f>
        <v>1071054203454279681</v>
      </c>
      <c r="F209" s="12"/>
      <c r="G209" s="12"/>
      <c r="H209" s="12"/>
      <c r="I209" s="13">
        <v>1</v>
      </c>
      <c r="J209" s="13">
        <v>1</v>
      </c>
      <c r="K209" s="14" t="str">
        <f>HYPERLINK("http://twitter.com/download/android","Twitter for Android")</f>
        <v>Twitter for Android</v>
      </c>
      <c r="L209" s="13">
        <v>732</v>
      </c>
      <c r="M209" s="13">
        <v>411</v>
      </c>
      <c r="N209" s="13">
        <v>10</v>
      </c>
      <c r="O209" s="15"/>
      <c r="P209" s="6">
        <v>42709.741087962961</v>
      </c>
      <c r="Q209" s="16" t="s">
        <v>888</v>
      </c>
      <c r="R209" s="17" t="s">
        <v>889</v>
      </c>
      <c r="S209" s="11" t="s">
        <v>890</v>
      </c>
      <c r="T209" s="12"/>
      <c r="U209" s="10" t="str">
        <f>HYPERLINK("https://pbs.twimg.com/profile_images/980892286644047874/-YKZaS53.jpg","View")</f>
        <v>View</v>
      </c>
    </row>
    <row r="210" spans="1:21" ht="40.799999999999997">
      <c r="A210" s="6">
        <v>43441.657199074078</v>
      </c>
      <c r="B210" s="7" t="str">
        <f>HYPERLINK("https://twitter.com/MariaTabarnia","@MariaTabarnia")</f>
        <v>@MariaTabarnia</v>
      </c>
      <c r="C210" s="8" t="s">
        <v>891</v>
      </c>
      <c r="D210" s="9" t="s">
        <v>892</v>
      </c>
      <c r="E210" s="10" t="str">
        <f>HYPERLINK("https://twitter.com/MariaTabarnia/status/1071053308238970880","1071053308238970880")</f>
        <v>1071053308238970880</v>
      </c>
      <c r="F210" s="12"/>
      <c r="G210" s="11" t="s">
        <v>893</v>
      </c>
      <c r="H210" s="12"/>
      <c r="I210" s="13">
        <v>36</v>
      </c>
      <c r="J210" s="13">
        <v>81</v>
      </c>
      <c r="K210" s="14" t="str">
        <f>HYPERLINK("http://twitter.com/#!/download/ipad","Twitter for iPad")</f>
        <v>Twitter for iPad</v>
      </c>
      <c r="L210" s="13">
        <v>12678</v>
      </c>
      <c r="M210" s="13">
        <v>13834</v>
      </c>
      <c r="N210" s="13">
        <v>55</v>
      </c>
      <c r="O210" s="15"/>
      <c r="P210" s="6">
        <v>41424.855567129627</v>
      </c>
      <c r="Q210" s="16" t="s">
        <v>894</v>
      </c>
      <c r="R210" s="17" t="s">
        <v>895</v>
      </c>
      <c r="S210" s="12"/>
      <c r="T210" s="12"/>
      <c r="U210" s="10" t="str">
        <f>HYPERLINK("https://pbs.twimg.com/profile_images/906661884199391232/L9xcUYsf.jpg","View")</f>
        <v>View</v>
      </c>
    </row>
    <row r="211" spans="1:21" ht="40.799999999999997">
      <c r="A211" s="6">
        <v>43441.651087962964</v>
      </c>
      <c r="B211" s="7" t="str">
        <f>HYPERLINK("https://twitter.com/RTVEaragon","@RTVEaragon")</f>
        <v>@RTVEaragon</v>
      </c>
      <c r="C211" s="8" t="s">
        <v>896</v>
      </c>
      <c r="D211" s="9" t="s">
        <v>897</v>
      </c>
      <c r="E211" s="10" t="str">
        <f>HYPERLINK("https://twitter.com/RTVEaragon/status/1071051091674980352","1071051091674980352")</f>
        <v>1071051091674980352</v>
      </c>
      <c r="F211" s="11" t="s">
        <v>898</v>
      </c>
      <c r="G211" s="11" t="s">
        <v>899</v>
      </c>
      <c r="H211" s="12"/>
      <c r="I211" s="13">
        <v>0</v>
      </c>
      <c r="J211" s="13">
        <v>0</v>
      </c>
      <c r="K211" s="14" t="str">
        <f>HYPERLINK("https://dlvrit.com/","dlvr.it")</f>
        <v>dlvr.it</v>
      </c>
      <c r="L211" s="13">
        <v>1808</v>
      </c>
      <c r="M211" s="13">
        <v>59</v>
      </c>
      <c r="N211" s="13">
        <v>68</v>
      </c>
      <c r="O211" s="15"/>
      <c r="P211" s="6">
        <v>41430.655393518522</v>
      </c>
      <c r="Q211" s="12"/>
      <c r="R211" s="17" t="s">
        <v>900</v>
      </c>
      <c r="S211" s="11" t="s">
        <v>901</v>
      </c>
      <c r="T211" s="12"/>
      <c r="U211" s="10" t="str">
        <f>HYPERLINK("https://pbs.twimg.com/profile_images/464725191214379008/g0uiBYNI.png","View")</f>
        <v>View</v>
      </c>
    </row>
    <row r="212" spans="1:21" ht="20.399999999999999">
      <c r="A212" s="6">
        <v>43441.650462962964</v>
      </c>
      <c r="B212" s="7" t="str">
        <f>HYPERLINK("https://twitter.com/22yonaguni22","@22yonaguni22")</f>
        <v>@22yonaguni22</v>
      </c>
      <c r="C212" s="8" t="s">
        <v>902</v>
      </c>
      <c r="D212" s="9" t="s">
        <v>455</v>
      </c>
      <c r="E212" s="10" t="str">
        <f>HYPERLINK("https://twitter.com/22yonaguni22/status/1071050868999507968","1071050868999507968")</f>
        <v>1071050868999507968</v>
      </c>
      <c r="F212" s="11" t="s">
        <v>127</v>
      </c>
      <c r="G212" s="12"/>
      <c r="H212" s="12"/>
      <c r="I212" s="13">
        <v>1</v>
      </c>
      <c r="J212" s="13">
        <v>0</v>
      </c>
      <c r="K212" s="14" t="str">
        <f>HYPERLINK("http://twitter.com/download/android","Twitter for Android")</f>
        <v>Twitter for Android</v>
      </c>
      <c r="L212" s="13">
        <v>34</v>
      </c>
      <c r="M212" s="13">
        <v>34</v>
      </c>
      <c r="N212" s="13">
        <v>0</v>
      </c>
      <c r="O212" s="15"/>
      <c r="P212" s="6">
        <v>43008.759050925924</v>
      </c>
      <c r="Q212" s="16" t="s">
        <v>903</v>
      </c>
      <c r="R212" s="20"/>
      <c r="S212" s="12"/>
      <c r="T212" s="12"/>
      <c r="U212" s="10" t="str">
        <f>HYPERLINK("https://pbs.twimg.com/profile_images/1070030485454249984/vflHSWrX.jpg","View")</f>
        <v>View</v>
      </c>
    </row>
    <row r="213" spans="1:21" ht="20.399999999999999">
      <c r="A213" s="6">
        <v>43441.650127314817</v>
      </c>
      <c r="B213" s="7" t="str">
        <f>HYPERLINK("https://twitter.com/AlfredoSiSal","@AlfredoSiSal")</f>
        <v>@AlfredoSiSal</v>
      </c>
      <c r="C213" s="8" t="s">
        <v>904</v>
      </c>
      <c r="D213" s="9" t="s">
        <v>143</v>
      </c>
      <c r="E213" s="10" t="str">
        <f>HYPERLINK("https://twitter.com/AlfredoSiSal/status/1071050744776806400","1071050744776806400")</f>
        <v>1071050744776806400</v>
      </c>
      <c r="F213" s="11" t="s">
        <v>144</v>
      </c>
      <c r="G213" s="12"/>
      <c r="H213" s="12"/>
      <c r="I213" s="13">
        <v>0</v>
      </c>
      <c r="J213" s="13">
        <v>1</v>
      </c>
      <c r="K213" s="14" t="str">
        <f>HYPERLINK("http://twitter.com","Twitter Web Client")</f>
        <v>Twitter Web Client</v>
      </c>
      <c r="L213" s="13">
        <v>2174</v>
      </c>
      <c r="M213" s="13">
        <v>2904</v>
      </c>
      <c r="N213" s="13">
        <v>22</v>
      </c>
      <c r="O213" s="15"/>
      <c r="P213" s="6">
        <v>41515.530127314814</v>
      </c>
      <c r="Q213" s="12"/>
      <c r="R213" s="20"/>
      <c r="S213" s="12"/>
      <c r="T213" s="12"/>
      <c r="U213" s="10" t="str">
        <f>HYPERLINK("https://pbs.twimg.com/profile_images/378800000379441556/26e68457f340274ac638c865851e4625.jpeg","View")</f>
        <v>View</v>
      </c>
    </row>
    <row r="214" spans="1:21" ht="30.6">
      <c r="A214" s="6">
        <v>43441.64979166667</v>
      </c>
      <c r="B214" s="7" t="str">
        <f>HYPERLINK("https://twitter.com/BenHanscom","@BenHanscom")</f>
        <v>@BenHanscom</v>
      </c>
      <c r="C214" s="8" t="s">
        <v>905</v>
      </c>
      <c r="D214" s="9" t="s">
        <v>906</v>
      </c>
      <c r="E214" s="10" t="str">
        <f>HYPERLINK("https://twitter.com/BenHanscom/status/1071050624119246849","1071050624119246849")</f>
        <v>1071050624119246849</v>
      </c>
      <c r="F214" s="12"/>
      <c r="G214" s="12"/>
      <c r="H214" s="12"/>
      <c r="I214" s="13">
        <v>0</v>
      </c>
      <c r="J214" s="13">
        <v>1</v>
      </c>
      <c r="K214" s="14" t="str">
        <f>HYPERLINK("https://mobile.twitter.com","Twitter Lite")</f>
        <v>Twitter Lite</v>
      </c>
      <c r="L214" s="13">
        <v>88</v>
      </c>
      <c r="M214" s="13">
        <v>171</v>
      </c>
      <c r="N214" s="13">
        <v>3</v>
      </c>
      <c r="O214" s="15"/>
      <c r="P214" s="6">
        <v>40683.88863425926</v>
      </c>
      <c r="Q214" s="12"/>
      <c r="R214" s="17" t="s">
        <v>907</v>
      </c>
      <c r="S214" s="12"/>
      <c r="T214" s="12"/>
      <c r="U214" s="10" t="str">
        <f>HYPERLINK("https://pbs.twimg.com/profile_images/568794689781116928/8MN1C2qD.jpeg","View")</f>
        <v>View</v>
      </c>
    </row>
    <row r="215" spans="1:21" ht="20.399999999999999">
      <c r="A215" s="6">
        <v>43441.647731481484</v>
      </c>
      <c r="B215" s="7" t="str">
        <f>HYPERLINK("https://twitter.com/galdizan","@galdizan")</f>
        <v>@galdizan</v>
      </c>
      <c r="C215" s="8" t="s">
        <v>908</v>
      </c>
      <c r="D215" s="9" t="s">
        <v>455</v>
      </c>
      <c r="E215" s="10" t="str">
        <f>HYPERLINK("https://twitter.com/galdizan/status/1071049875226324992","1071049875226324992")</f>
        <v>1071049875226324992</v>
      </c>
      <c r="F215" s="11" t="s">
        <v>127</v>
      </c>
      <c r="G215" s="12"/>
      <c r="H215" s="12"/>
      <c r="I215" s="13">
        <v>0</v>
      </c>
      <c r="J215" s="13">
        <v>0</v>
      </c>
      <c r="K215" s="14" t="str">
        <f>HYPERLINK("http://twitter.com","Twitter Web Client")</f>
        <v>Twitter Web Client</v>
      </c>
      <c r="L215" s="13">
        <v>1986</v>
      </c>
      <c r="M215" s="13">
        <v>4538</v>
      </c>
      <c r="N215" s="13">
        <v>32</v>
      </c>
      <c r="O215" s="15"/>
      <c r="P215" s="6">
        <v>41371.654236111113</v>
      </c>
      <c r="Q215" s="12"/>
      <c r="R215" s="20"/>
      <c r="S215" s="12"/>
      <c r="T215" s="12"/>
      <c r="U215" s="10" t="str">
        <f>HYPERLINK("https://pbs.twimg.com/profile_images/511114626986016768/V4YhxCaM.png","View")</f>
        <v>View</v>
      </c>
    </row>
    <row r="216" spans="1:21" ht="40.799999999999997">
      <c r="A216" s="6">
        <v>43441.635509259257</v>
      </c>
      <c r="B216" s="7" t="str">
        <f>HYPERLINK("https://twitter.com/ErnestoEkaizer","@ErnestoEkaizer")</f>
        <v>@ErnestoEkaizer</v>
      </c>
      <c r="C216" s="8" t="s">
        <v>909</v>
      </c>
      <c r="D216" s="9" t="s">
        <v>910</v>
      </c>
      <c r="E216" s="10" t="str">
        <f>HYPERLINK("https://twitter.com/ErnestoEkaizer/status/1071045448813723648","1071045448813723648")</f>
        <v>1071045448813723648</v>
      </c>
      <c r="F216" s="11" t="s">
        <v>911</v>
      </c>
      <c r="G216" s="12"/>
      <c r="H216" s="12"/>
      <c r="I216" s="13">
        <v>39</v>
      </c>
      <c r="J216" s="13">
        <v>27</v>
      </c>
      <c r="K216" s="14" t="str">
        <f t="shared" ref="K216:K217" si="41">HYPERLINK("http://twitter.com/download/android","Twitter for Android")</f>
        <v>Twitter for Android</v>
      </c>
      <c r="L216" s="13">
        <v>192549</v>
      </c>
      <c r="M216" s="13">
        <v>77</v>
      </c>
      <c r="N216" s="13">
        <v>1640</v>
      </c>
      <c r="O216" s="15"/>
      <c r="P216" s="6">
        <v>41926.879976851851</v>
      </c>
      <c r="Q216" s="16" t="s">
        <v>191</v>
      </c>
      <c r="R216" s="17" t="s">
        <v>912</v>
      </c>
      <c r="S216" s="12"/>
      <c r="T216" s="12"/>
      <c r="U216" s="10" t="str">
        <f>HYPERLINK("https://pbs.twimg.com/profile_images/636954162723430400/5M4mqZzN.jpg","View")</f>
        <v>View</v>
      </c>
    </row>
    <row r="217" spans="1:21" ht="13.2">
      <c r="A217" s="6">
        <v>43441.634768518517</v>
      </c>
      <c r="B217" s="7" t="str">
        <f>HYPERLINK("https://twitter.com/sedlr_","@sedlr_")</f>
        <v>@sedlr_</v>
      </c>
      <c r="C217" s="8" t="s">
        <v>913</v>
      </c>
      <c r="D217" s="9" t="s">
        <v>914</v>
      </c>
      <c r="E217" s="10" t="str">
        <f>HYPERLINK("https://twitter.com/sedlr_/status/1071045177538723840","1071045177538723840")</f>
        <v>1071045177538723840</v>
      </c>
      <c r="F217" s="12"/>
      <c r="G217" s="12"/>
      <c r="H217" s="12"/>
      <c r="I217" s="13">
        <v>1</v>
      </c>
      <c r="J217" s="13">
        <v>3</v>
      </c>
      <c r="K217" s="14" t="str">
        <f t="shared" si="41"/>
        <v>Twitter for Android</v>
      </c>
      <c r="L217" s="13">
        <v>8638</v>
      </c>
      <c r="M217" s="13">
        <v>7892</v>
      </c>
      <c r="N217" s="13">
        <v>30</v>
      </c>
      <c r="O217" s="15"/>
      <c r="P217" s="6">
        <v>41250.693912037037</v>
      </c>
      <c r="Q217" s="16" t="s">
        <v>816</v>
      </c>
      <c r="R217" s="20"/>
      <c r="S217" s="12"/>
      <c r="T217" s="12"/>
      <c r="U217" s="10" t="str">
        <f>HYPERLINK("https://pbs.twimg.com/profile_images/1026984752270782464/dquFa8_K.jpg","View")</f>
        <v>View</v>
      </c>
    </row>
    <row r="218" spans="1:21" ht="13.2">
      <c r="A218" s="6">
        <v>43441.634212962963</v>
      </c>
      <c r="B218" s="7" t="str">
        <f>HYPERLINK("https://twitter.com/_retsuko","@_retsuko")</f>
        <v>@_retsuko</v>
      </c>
      <c r="C218" s="8" t="s">
        <v>915</v>
      </c>
      <c r="D218" s="9" t="s">
        <v>916</v>
      </c>
      <c r="E218" s="10" t="str">
        <f>HYPERLINK("https://twitter.com/_retsuko/status/1071044979865387008","1071044979865387008")</f>
        <v>1071044979865387008</v>
      </c>
      <c r="F218" s="12"/>
      <c r="G218" s="12"/>
      <c r="H218" s="12"/>
      <c r="I218" s="13">
        <v>1</v>
      </c>
      <c r="J218" s="13">
        <v>3</v>
      </c>
      <c r="K218" s="14" t="str">
        <f>HYPERLINK("http://twitter.com/download/iphone","Twitter for iPhone")</f>
        <v>Twitter for iPhone</v>
      </c>
      <c r="L218" s="13">
        <v>136</v>
      </c>
      <c r="M218" s="13">
        <v>145</v>
      </c>
      <c r="N218" s="13">
        <v>10</v>
      </c>
      <c r="O218" s="15"/>
      <c r="P218" s="6">
        <v>41082.670486111107</v>
      </c>
      <c r="Q218" s="16" t="s">
        <v>917</v>
      </c>
      <c r="R218" s="17" t="s">
        <v>918</v>
      </c>
      <c r="S218" s="12"/>
      <c r="T218" s="12"/>
      <c r="U218" s="10" t="str">
        <f>HYPERLINK("https://pbs.twimg.com/profile_images/1069996773438078986/jIcwLy7A.jpg","View")</f>
        <v>View</v>
      </c>
    </row>
    <row r="219" spans="1:21" ht="30.6">
      <c r="A219" s="6">
        <v>43441.633668981478</v>
      </c>
      <c r="B219" s="7" t="str">
        <f>HYPERLINK("https://twitter.com/Smokedoper","@Smokedoper")</f>
        <v>@Smokedoper</v>
      </c>
      <c r="C219" s="8" t="s">
        <v>919</v>
      </c>
      <c r="D219" s="9" t="s">
        <v>920</v>
      </c>
      <c r="E219" s="10" t="str">
        <f>HYPERLINK("https://twitter.com/Smokedoper/status/1071044779952226304","1071044779952226304")</f>
        <v>1071044779952226304</v>
      </c>
      <c r="F219" s="11" t="s">
        <v>535</v>
      </c>
      <c r="G219" s="12"/>
      <c r="H219" s="12"/>
      <c r="I219" s="13">
        <v>0</v>
      </c>
      <c r="J219" s="13">
        <v>0</v>
      </c>
      <c r="K219" s="14" t="str">
        <f>HYPERLINK("http://twitter.com","Twitter Web Client")</f>
        <v>Twitter Web Client</v>
      </c>
      <c r="L219" s="13">
        <v>247</v>
      </c>
      <c r="M219" s="13">
        <v>677</v>
      </c>
      <c r="N219" s="13">
        <v>19</v>
      </c>
      <c r="O219" s="15"/>
      <c r="P219" s="6">
        <v>40340.054652777777</v>
      </c>
      <c r="Q219" s="16" t="s">
        <v>921</v>
      </c>
      <c r="R219" s="17" t="s">
        <v>922</v>
      </c>
      <c r="S219" s="12"/>
      <c r="T219" s="12"/>
      <c r="U219" s="10" t="str">
        <f>HYPERLINK("https://pbs.twimg.com/profile_images/378800000049079425/5b3102d0704ee60d2a9a0468bff72511.jpeg","View")</f>
        <v>View</v>
      </c>
    </row>
    <row r="220" spans="1:21" ht="30.6">
      <c r="A220" s="6">
        <v>43441.632638888885</v>
      </c>
      <c r="B220" s="7" t="str">
        <f>HYPERLINK("https://twitter.com/LaNinyaMala","@LaNinyaMala")</f>
        <v>@LaNinyaMala</v>
      </c>
      <c r="C220" s="8" t="s">
        <v>923</v>
      </c>
      <c r="D220" s="9" t="s">
        <v>924</v>
      </c>
      <c r="E220" s="10" t="str">
        <f>HYPERLINK("https://twitter.com/LaNinyaMala/status/1071044405883215872","1071044405883215872")</f>
        <v>1071044405883215872</v>
      </c>
      <c r="F220" s="12"/>
      <c r="G220" s="11" t="s">
        <v>925</v>
      </c>
      <c r="H220" s="12"/>
      <c r="I220" s="13">
        <v>28</v>
      </c>
      <c r="J220" s="13">
        <v>85</v>
      </c>
      <c r="K220" s="14" t="str">
        <f>HYPERLINK("http://twitter.com/download/android","Twitter for Android")</f>
        <v>Twitter for Android</v>
      </c>
      <c r="L220" s="13">
        <v>4515</v>
      </c>
      <c r="M220" s="13">
        <v>3351</v>
      </c>
      <c r="N220" s="13">
        <v>7</v>
      </c>
      <c r="O220" s="15"/>
      <c r="P220" s="6">
        <v>43002.766064814816</v>
      </c>
      <c r="Q220" s="16" t="s">
        <v>926</v>
      </c>
      <c r="R220" s="17" t="s">
        <v>927</v>
      </c>
      <c r="S220" s="12"/>
      <c r="T220" s="12"/>
      <c r="U220" s="10" t="str">
        <f>HYPERLINK("https://pbs.twimg.com/profile_images/1022526447318130690/_cuQtE06.jpg","View")</f>
        <v>View</v>
      </c>
    </row>
    <row r="221" spans="1:21" ht="20.399999999999999">
      <c r="A221" s="6">
        <v>43441.632106481484</v>
      </c>
      <c r="B221" s="7" t="str">
        <f>HYPERLINK("https://twitter.com/AnisaMarzo2011","@AnisaMarzo2011")</f>
        <v>@AnisaMarzo2011</v>
      </c>
      <c r="C221" s="8" t="s">
        <v>928</v>
      </c>
      <c r="D221" s="9" t="s">
        <v>143</v>
      </c>
      <c r="E221" s="10" t="str">
        <f>HYPERLINK("https://twitter.com/AnisaMarzo2011/status/1071044213142372352","1071044213142372352")</f>
        <v>1071044213142372352</v>
      </c>
      <c r="F221" s="11" t="s">
        <v>144</v>
      </c>
      <c r="G221" s="12"/>
      <c r="H221" s="12"/>
      <c r="I221" s="13">
        <v>0</v>
      </c>
      <c r="J221" s="13">
        <v>0</v>
      </c>
      <c r="K221" s="14" t="str">
        <f>HYPERLINK("http://twitter.com","Twitter Web Client")</f>
        <v>Twitter Web Client</v>
      </c>
      <c r="L221" s="13">
        <v>366</v>
      </c>
      <c r="M221" s="13">
        <v>638</v>
      </c>
      <c r="N221" s="13">
        <v>16</v>
      </c>
      <c r="O221" s="15"/>
      <c r="P221" s="6">
        <v>40623.444618055553</v>
      </c>
      <c r="Q221" s="16" t="s">
        <v>689</v>
      </c>
      <c r="R221" s="17" t="s">
        <v>929</v>
      </c>
      <c r="S221" s="12"/>
      <c r="T221" s="12"/>
      <c r="U221" s="10" t="str">
        <f>HYPERLINK("https://pbs.twimg.com/profile_images/666008149564985344/alf-NFa9.jpg","View")</f>
        <v>View</v>
      </c>
    </row>
    <row r="222" spans="1:21" ht="30.6">
      <c r="A222" s="6">
        <v>43441.629398148143</v>
      </c>
      <c r="B222" s="7" t="str">
        <f>HYPERLINK("https://twitter.com/joaquinkremel","@joaquinkremel")</f>
        <v>@joaquinkremel</v>
      </c>
      <c r="C222" s="8" t="s">
        <v>930</v>
      </c>
      <c r="D222" s="9" t="s">
        <v>931</v>
      </c>
      <c r="E222" s="10" t="str">
        <f>HYPERLINK("https://twitter.com/joaquinkremel/status/1071043231817830400","1071043231817830400")</f>
        <v>1071043231817830400</v>
      </c>
      <c r="F222" s="12"/>
      <c r="G222" s="11" t="s">
        <v>932</v>
      </c>
      <c r="H222" s="12"/>
      <c r="I222" s="13">
        <v>49</v>
      </c>
      <c r="J222" s="13">
        <v>42</v>
      </c>
      <c r="K222" s="14" t="str">
        <f>HYPERLINK("http://twitter.com/download/iphone","Twitter for iPhone")</f>
        <v>Twitter for iPhone</v>
      </c>
      <c r="L222" s="13">
        <v>9022</v>
      </c>
      <c r="M222" s="13">
        <v>3639</v>
      </c>
      <c r="N222" s="13">
        <v>66</v>
      </c>
      <c r="O222" s="15"/>
      <c r="P222" s="6">
        <v>40904.683206018519</v>
      </c>
      <c r="Q222" s="12"/>
      <c r="R222" s="17" t="s">
        <v>933</v>
      </c>
      <c r="S222" s="12"/>
      <c r="T222" s="12"/>
      <c r="U222" s="10" t="str">
        <f>HYPERLINK("https://pbs.twimg.com/profile_images/1058059120639643649/irnZjBX7.jpg","View")</f>
        <v>View</v>
      </c>
    </row>
    <row r="223" spans="1:21" ht="20.399999999999999">
      <c r="A223" s="6">
        <v>43441.62777777778</v>
      </c>
      <c r="B223" s="7" t="str">
        <f>HYPERLINK("https://twitter.com/CatalunyaRadio","@CatalunyaRadio")</f>
        <v>@CatalunyaRadio</v>
      </c>
      <c r="C223" s="8" t="s">
        <v>934</v>
      </c>
      <c r="D223" s="9" t="s">
        <v>935</v>
      </c>
      <c r="E223" s="10" t="str">
        <f>HYPERLINK("https://twitter.com/CatalunyaRadio/status/1071042646221709312","1071042646221709312")</f>
        <v>1071042646221709312</v>
      </c>
      <c r="F223" s="11" t="s">
        <v>936</v>
      </c>
      <c r="G223" s="12"/>
      <c r="H223" s="12"/>
      <c r="I223" s="13">
        <v>1</v>
      </c>
      <c r="J223" s="13">
        <v>1</v>
      </c>
      <c r="K223" s="14" t="str">
        <f>HYPERLINK("http://twitter.com","Twitter Web Client")</f>
        <v>Twitter Web Client</v>
      </c>
      <c r="L223" s="13">
        <v>211969</v>
      </c>
      <c r="M223" s="13">
        <v>245</v>
      </c>
      <c r="N223" s="13">
        <v>2447</v>
      </c>
      <c r="O223" s="19" t="s">
        <v>44</v>
      </c>
      <c r="P223" s="6">
        <v>39287.487708333334</v>
      </c>
      <c r="Q223" s="16" t="s">
        <v>524</v>
      </c>
      <c r="R223" s="17" t="s">
        <v>937</v>
      </c>
      <c r="S223" s="11" t="s">
        <v>938</v>
      </c>
      <c r="T223" s="12"/>
      <c r="U223" s="10" t="str">
        <f>HYPERLINK("https://pbs.twimg.com/profile_images/899565676259618816/Dz00TZRv.jpg","View")</f>
        <v>View</v>
      </c>
    </row>
    <row r="224" spans="1:21" ht="20.399999999999999">
      <c r="A224" s="6">
        <v>43441.619444444441</v>
      </c>
      <c r="B224" s="7" t="str">
        <f>HYPERLINK("https://twitter.com/GrupoGethi","@GrupoGethi")</f>
        <v>@GrupoGethi</v>
      </c>
      <c r="C224" s="8" t="s">
        <v>939</v>
      </c>
      <c r="D224" s="9" t="s">
        <v>940</v>
      </c>
      <c r="E224" s="10" t="str">
        <f>HYPERLINK("https://twitter.com/GrupoGethi/status/1071039625718874114","1071039625718874114")</f>
        <v>1071039625718874114</v>
      </c>
      <c r="F224" s="11" t="s">
        <v>941</v>
      </c>
      <c r="G224" s="12"/>
      <c r="H224" s="12"/>
      <c r="I224" s="13">
        <v>18</v>
      </c>
      <c r="J224" s="13">
        <v>0</v>
      </c>
      <c r="K224" s="14" t="str">
        <f>HYPERLINK("https://buffer.com","Buffer")</f>
        <v>Buffer</v>
      </c>
      <c r="L224" s="13">
        <v>9033</v>
      </c>
      <c r="M224" s="13">
        <v>2053</v>
      </c>
      <c r="N224" s="13">
        <v>113</v>
      </c>
      <c r="O224" s="15"/>
      <c r="P224" s="6">
        <v>41022.650300925925</v>
      </c>
      <c r="Q224" s="16" t="s">
        <v>48</v>
      </c>
      <c r="R224" s="17" t="s">
        <v>942</v>
      </c>
      <c r="S224" s="11" t="s">
        <v>943</v>
      </c>
      <c r="T224" s="12"/>
      <c r="U224" s="10" t="str">
        <f>HYPERLINK("https://pbs.twimg.com/profile_images/2159246453/Gethi2.png","View")</f>
        <v>View</v>
      </c>
    </row>
    <row r="225" spans="1:21" ht="20.399999999999999">
      <c r="A225" s="6">
        <v>43441.619120370371</v>
      </c>
      <c r="B225" s="7" t="str">
        <f>HYPERLINK("https://twitter.com/MariaLFV","@MariaLFV")</f>
        <v>@MariaLFV</v>
      </c>
      <c r="C225" s="8" t="s">
        <v>944</v>
      </c>
      <c r="D225" s="9" t="s">
        <v>143</v>
      </c>
      <c r="E225" s="10" t="str">
        <f>HYPERLINK("https://twitter.com/MariaLFV/status/1071039509855420417","1071039509855420417")</f>
        <v>1071039509855420417</v>
      </c>
      <c r="F225" s="11" t="s">
        <v>144</v>
      </c>
      <c r="G225" s="12"/>
      <c r="H225" s="12"/>
      <c r="I225" s="13">
        <v>0</v>
      </c>
      <c r="J225" s="13">
        <v>0</v>
      </c>
      <c r="K225" s="14" t="str">
        <f>HYPERLINK("http://twitter.com","Twitter Web Client")</f>
        <v>Twitter Web Client</v>
      </c>
      <c r="L225" s="13">
        <v>1713</v>
      </c>
      <c r="M225" s="13">
        <v>1699</v>
      </c>
      <c r="N225" s="13">
        <v>46</v>
      </c>
      <c r="O225" s="15"/>
      <c r="P225" s="6">
        <v>41105.445625</v>
      </c>
      <c r="Q225" s="16" t="s">
        <v>945</v>
      </c>
      <c r="R225" s="17" t="s">
        <v>946</v>
      </c>
      <c r="S225" s="12"/>
      <c r="T225" s="12"/>
      <c r="U225" s="10" t="str">
        <f>HYPERLINK("https://pbs.twimg.com/profile_images/866334319366819840/Dmvw8Lz3.jpg","View")</f>
        <v>View</v>
      </c>
    </row>
    <row r="226" spans="1:21" ht="40.799999999999997">
      <c r="A226" s="6">
        <v>43441.617858796293</v>
      </c>
      <c r="B226" s="7" t="str">
        <f>HYPERLINK("https://twitter.com/Jotatsu13","@Jotatsu13")</f>
        <v>@Jotatsu13</v>
      </c>
      <c r="C226" s="8" t="s">
        <v>947</v>
      </c>
      <c r="D226" s="9" t="s">
        <v>948</v>
      </c>
      <c r="E226" s="10" t="str">
        <f>HYPERLINK("https://twitter.com/Jotatsu13/status/1071039052261015552","1071039052261015552")</f>
        <v>1071039052261015552</v>
      </c>
      <c r="F226" s="12"/>
      <c r="G226" s="12"/>
      <c r="H226" s="12"/>
      <c r="I226" s="13">
        <v>0</v>
      </c>
      <c r="J226" s="13">
        <v>0</v>
      </c>
      <c r="K226" s="14" t="str">
        <f>HYPERLINK("http://twitter.com/download/iphone","Twitter for iPhone")</f>
        <v>Twitter for iPhone</v>
      </c>
      <c r="L226" s="13">
        <v>41</v>
      </c>
      <c r="M226" s="13">
        <v>83</v>
      </c>
      <c r="N226" s="13">
        <v>1</v>
      </c>
      <c r="O226" s="15"/>
      <c r="P226" s="6">
        <v>43082.81658564815</v>
      </c>
      <c r="Q226" s="16" t="s">
        <v>524</v>
      </c>
      <c r="R226" s="17" t="s">
        <v>949</v>
      </c>
      <c r="S226" s="11" t="s">
        <v>950</v>
      </c>
      <c r="T226" s="12"/>
      <c r="U226" s="10" t="str">
        <f>HYPERLINK("https://pbs.twimg.com/profile_images/1039302969542541312/7n5TgDVq.jpg","View")</f>
        <v>View</v>
      </c>
    </row>
    <row r="227" spans="1:21" ht="13.2">
      <c r="A227" s="6">
        <v>43441.617349537039</v>
      </c>
      <c r="B227" s="7" t="str">
        <f>HYPERLINK("https://twitter.com/kalakahua","@kalakahua")</f>
        <v>@kalakahua</v>
      </c>
      <c r="C227" s="8" t="s">
        <v>951</v>
      </c>
      <c r="D227" s="9" t="s">
        <v>952</v>
      </c>
      <c r="E227" s="10" t="str">
        <f>HYPERLINK("https://twitter.com/kalakahua/status/1071038869007683584","1071038869007683584")</f>
        <v>1071038869007683584</v>
      </c>
      <c r="F227" s="12"/>
      <c r="G227" s="11" t="s">
        <v>953</v>
      </c>
      <c r="H227" s="12"/>
      <c r="I227" s="13">
        <v>0</v>
      </c>
      <c r="J227" s="13">
        <v>2</v>
      </c>
      <c r="K227" s="14" t="str">
        <f>HYPERLINK("https://about.twitter.com/products/tweetdeck","TweetDeck")</f>
        <v>TweetDeck</v>
      </c>
      <c r="L227" s="13">
        <v>9141</v>
      </c>
      <c r="M227" s="13">
        <v>552</v>
      </c>
      <c r="N227" s="13">
        <v>170</v>
      </c>
      <c r="O227" s="15"/>
      <c r="P227" s="6">
        <v>40002.718611111108</v>
      </c>
      <c r="Q227" s="16" t="s">
        <v>191</v>
      </c>
      <c r="R227" s="17" t="s">
        <v>954</v>
      </c>
      <c r="S227" s="11" t="s">
        <v>955</v>
      </c>
      <c r="T227" s="12"/>
      <c r="U227" s="10" t="str">
        <f>HYPERLINK("https://pbs.twimg.com/profile_images/949758141125808128/MqI4NWDM.jpg","View")</f>
        <v>View</v>
      </c>
    </row>
    <row r="228" spans="1:21" ht="40.799999999999997">
      <c r="A228" s="6">
        <v>43441.614710648151</v>
      </c>
      <c r="B228" s="7" t="str">
        <f>HYPERLINK("https://twitter.com/dirva14","@dirva14")</f>
        <v>@dirva14</v>
      </c>
      <c r="C228" s="8" t="s">
        <v>956</v>
      </c>
      <c r="D228" s="9" t="s">
        <v>957</v>
      </c>
      <c r="E228" s="10" t="str">
        <f>HYPERLINK("https://twitter.com/dirva14/status/1071037912769273856","1071037912769273856")</f>
        <v>1071037912769273856</v>
      </c>
      <c r="F228" s="12"/>
      <c r="G228" s="12"/>
      <c r="H228" s="12"/>
      <c r="I228" s="13">
        <v>0</v>
      </c>
      <c r="J228" s="13">
        <v>0</v>
      </c>
      <c r="K228" s="14" t="str">
        <f>HYPERLINK("http://twitter.com/download/android","Twitter for Android")</f>
        <v>Twitter for Android</v>
      </c>
      <c r="L228" s="13">
        <v>191</v>
      </c>
      <c r="M228" s="13">
        <v>169</v>
      </c>
      <c r="N228" s="13">
        <v>0</v>
      </c>
      <c r="O228" s="15"/>
      <c r="P228" s="6">
        <v>41711.792743055557</v>
      </c>
      <c r="Q228" s="16" t="s">
        <v>587</v>
      </c>
      <c r="R228" s="17" t="s">
        <v>958</v>
      </c>
      <c r="S228" s="12"/>
      <c r="T228" s="12"/>
      <c r="U228" s="10" t="str">
        <f>HYPERLINK("https://pbs.twimg.com/profile_images/898556587262050304/toDgLC2U.jpg","View")</f>
        <v>View</v>
      </c>
    </row>
    <row r="229" spans="1:21" ht="30.6">
      <c r="A229" s="6">
        <v>43441.612453703703</v>
      </c>
      <c r="B229" s="7" t="str">
        <f>HYPERLINK("https://twitter.com/JMotaSierra","@JMotaSierra")</f>
        <v>@JMotaSierra</v>
      </c>
      <c r="C229" s="8" t="s">
        <v>959</v>
      </c>
      <c r="D229" s="9" t="s">
        <v>960</v>
      </c>
      <c r="E229" s="10" t="str">
        <f>HYPERLINK("https://twitter.com/JMotaSierra/status/1071037094204723200","1071037094204723200")</f>
        <v>1071037094204723200</v>
      </c>
      <c r="F229" s="12"/>
      <c r="G229" s="12"/>
      <c r="H229" s="12"/>
      <c r="I229" s="13">
        <v>0</v>
      </c>
      <c r="J229" s="13">
        <v>0</v>
      </c>
      <c r="K229" s="14" t="str">
        <f>HYPERLINK("http://www.facebook.com/twitter","Facebook")</f>
        <v>Facebook</v>
      </c>
      <c r="L229" s="13">
        <v>570</v>
      </c>
      <c r="M229" s="13">
        <v>1518</v>
      </c>
      <c r="N229" s="13">
        <v>12</v>
      </c>
      <c r="O229" s="15"/>
      <c r="P229" s="6">
        <v>40790.586516203708</v>
      </c>
      <c r="Q229" s="16" t="s">
        <v>961</v>
      </c>
      <c r="R229" s="17" t="s">
        <v>962</v>
      </c>
      <c r="S229" s="11" t="s">
        <v>963</v>
      </c>
      <c r="T229" s="12"/>
      <c r="U229" s="10" t="str">
        <f>HYPERLINK("https://pbs.twimg.com/profile_images/935267078126350338/5pU_Ir7o.jpg","View")</f>
        <v>View</v>
      </c>
    </row>
    <row r="230" spans="1:21" ht="30.6">
      <c r="A230" s="6">
        <v>43441.61105324074</v>
      </c>
      <c r="B230" s="7" t="str">
        <f>HYPERLINK("https://twitter.com/eldiarioes","@eldiarioes")</f>
        <v>@eldiarioes</v>
      </c>
      <c r="C230" s="21" t="s">
        <v>964</v>
      </c>
      <c r="D230" s="9" t="s">
        <v>848</v>
      </c>
      <c r="E230" s="10" t="str">
        <f>HYPERLINK("https://twitter.com/eldiarioes/status/1071036583933956097","1071036583933956097")</f>
        <v>1071036583933956097</v>
      </c>
      <c r="F230" s="11" t="s">
        <v>849</v>
      </c>
      <c r="G230" s="11" t="s">
        <v>850</v>
      </c>
      <c r="H230" s="12"/>
      <c r="I230" s="13">
        <v>16</v>
      </c>
      <c r="J230" s="13">
        <v>23</v>
      </c>
      <c r="K230" s="14" t="str">
        <f>HYPERLINK("https://about.twitter.com/products/tweetdeck","TweetDeck")</f>
        <v>TweetDeck</v>
      </c>
      <c r="L230" s="13">
        <v>940168</v>
      </c>
      <c r="M230" s="13">
        <v>456</v>
      </c>
      <c r="N230" s="13">
        <v>11261</v>
      </c>
      <c r="O230" s="19" t="s">
        <v>44</v>
      </c>
      <c r="P230" s="6">
        <v>40992.839189814811</v>
      </c>
      <c r="Q230" s="12"/>
      <c r="R230" s="17" t="s">
        <v>965</v>
      </c>
      <c r="S230" s="11" t="s">
        <v>966</v>
      </c>
      <c r="T230" s="12"/>
      <c r="U230" s="10" t="str">
        <f>HYPERLINK("https://pbs.twimg.com/profile_images/1016600645292511232/eYIkIK2s.jpg","View")</f>
        <v>View</v>
      </c>
    </row>
    <row r="231" spans="1:21" ht="13.2">
      <c r="A231" s="6">
        <v>43441.607569444444</v>
      </c>
      <c r="B231" s="7" t="str">
        <f>HYPERLINK("https://twitter.com/julialadel631","@julialadel631")</f>
        <v>@julialadel631</v>
      </c>
      <c r="C231" s="8" t="s">
        <v>967</v>
      </c>
      <c r="D231" s="9" t="s">
        <v>968</v>
      </c>
      <c r="E231" s="10" t="str">
        <f>HYPERLINK("https://twitter.com/julialadel631/status/1071035324946616320","1071035324946616320")</f>
        <v>1071035324946616320</v>
      </c>
      <c r="F231" s="12"/>
      <c r="G231" s="12"/>
      <c r="H231" s="12"/>
      <c r="I231" s="13">
        <v>0</v>
      </c>
      <c r="J231" s="13">
        <v>1</v>
      </c>
      <c r="K231" s="14" t="str">
        <f>HYPERLINK("http://twitter.com/download/iphone","Twitter for iPhone")</f>
        <v>Twitter for iPhone</v>
      </c>
      <c r="L231" s="13">
        <v>60</v>
      </c>
      <c r="M231" s="13">
        <v>363</v>
      </c>
      <c r="N231" s="13">
        <v>0</v>
      </c>
      <c r="O231" s="15"/>
      <c r="P231" s="6">
        <v>43429.953993055555</v>
      </c>
      <c r="Q231" s="12"/>
      <c r="R231" s="20"/>
      <c r="S231" s="12"/>
      <c r="T231" s="12"/>
      <c r="U231" s="10" t="str">
        <f>HYPERLINK("https://pbs.twimg.com/profile_images/1066813250615107584/MfvjGnbn.jpg","View")</f>
        <v>View</v>
      </c>
    </row>
    <row r="232" spans="1:21" ht="20.399999999999999">
      <c r="A232" s="6">
        <v>43441.60527777778</v>
      </c>
      <c r="B232" s="7" t="str">
        <f>HYPERLINK("https://twitter.com/rojasocialista","@rojasocialista")</f>
        <v>@rojasocialista</v>
      </c>
      <c r="C232" s="8" t="s">
        <v>969</v>
      </c>
      <c r="D232" s="9" t="s">
        <v>455</v>
      </c>
      <c r="E232" s="10" t="str">
        <f>HYPERLINK("https://twitter.com/rojasocialista/status/1071034490632454151","1071034490632454151")</f>
        <v>1071034490632454151</v>
      </c>
      <c r="F232" s="11" t="s">
        <v>127</v>
      </c>
      <c r="G232" s="12"/>
      <c r="H232" s="12"/>
      <c r="I232" s="13">
        <v>48</v>
      </c>
      <c r="J232" s="13">
        <v>35</v>
      </c>
      <c r="K232" s="14" t="str">
        <f>HYPERLINK("http://twitter.com/download/android","Twitter for Android")</f>
        <v>Twitter for Android</v>
      </c>
      <c r="L232" s="13">
        <v>2643</v>
      </c>
      <c r="M232" s="13">
        <v>2613</v>
      </c>
      <c r="N232" s="13">
        <v>39</v>
      </c>
      <c r="O232" s="15"/>
      <c r="P232" s="6">
        <v>41909.830324074072</v>
      </c>
      <c r="Q232" s="16" t="s">
        <v>970</v>
      </c>
      <c r="R232" s="17" t="s">
        <v>971</v>
      </c>
      <c r="S232" s="12"/>
      <c r="T232" s="12"/>
      <c r="U232" s="10" t="str">
        <f>HYPERLINK("https://pbs.twimg.com/profile_images/853268927295651840/NrJbbaHk.jpg","View")</f>
        <v>View</v>
      </c>
    </row>
    <row r="233" spans="1:21" ht="20.399999999999999">
      <c r="A233" s="6">
        <v>43441.603946759264</v>
      </c>
      <c r="B233" s="7" t="str">
        <f>HYPERLINK("https://twitter.com/vrodriguez145","@vrodriguez145")</f>
        <v>@vrodriguez145</v>
      </c>
      <c r="C233" s="8" t="s">
        <v>972</v>
      </c>
      <c r="D233" s="9" t="s">
        <v>973</v>
      </c>
      <c r="E233" s="10" t="str">
        <f>HYPERLINK("https://twitter.com/vrodriguez145/status/1071034009772277760","1071034009772277760")</f>
        <v>1071034009772277760</v>
      </c>
      <c r="F233" s="11" t="s">
        <v>974</v>
      </c>
      <c r="G233" s="12"/>
      <c r="H233" s="12"/>
      <c r="I233" s="13">
        <v>0</v>
      </c>
      <c r="J233" s="13">
        <v>0</v>
      </c>
      <c r="K233" s="14" t="str">
        <f>HYPERLINK("http://www.facebook.com/twitter","Facebook")</f>
        <v>Facebook</v>
      </c>
      <c r="L233" s="13">
        <v>126</v>
      </c>
      <c r="M233" s="13">
        <v>76</v>
      </c>
      <c r="N233" s="13">
        <v>6</v>
      </c>
      <c r="O233" s="15"/>
      <c r="P233" s="6">
        <v>41764.892407407409</v>
      </c>
      <c r="Q233" s="16" t="s">
        <v>975</v>
      </c>
      <c r="R233" s="20"/>
      <c r="S233" s="12"/>
      <c r="T233" s="12"/>
      <c r="U233" s="10" t="str">
        <f>HYPERLINK("https://pbs.twimg.com/profile_images/464686795377348608/-FzdpI12.jpeg","View")</f>
        <v>View</v>
      </c>
    </row>
    <row r="234" spans="1:21" ht="40.799999999999997">
      <c r="A234" s="6">
        <v>43441.603749999995</v>
      </c>
      <c r="B234" s="7" t="str">
        <f>HYPERLINK("https://twitter.com/juandepca","@juandepca")</f>
        <v>@juandepca</v>
      </c>
      <c r="C234" s="8" t="s">
        <v>976</v>
      </c>
      <c r="D234" s="9" t="s">
        <v>977</v>
      </c>
      <c r="E234" s="10" t="str">
        <f>HYPERLINK("https://twitter.com/juandepca/status/1071033937877757952","1071033937877757952")</f>
        <v>1071033937877757952</v>
      </c>
      <c r="F234" s="12"/>
      <c r="G234" s="12"/>
      <c r="H234" s="12"/>
      <c r="I234" s="13">
        <v>13</v>
      </c>
      <c r="J234" s="13">
        <v>7</v>
      </c>
      <c r="K234" s="14" t="str">
        <f>HYPERLINK("http://twitter.com/download/iphone","Twitter for iPhone")</f>
        <v>Twitter for iPhone</v>
      </c>
      <c r="L234" s="13">
        <v>8024</v>
      </c>
      <c r="M234" s="13">
        <v>2731</v>
      </c>
      <c r="N234" s="13">
        <v>84</v>
      </c>
      <c r="O234" s="15"/>
      <c r="P234" s="6">
        <v>40961.922465277778</v>
      </c>
      <c r="Q234" s="16" t="s">
        <v>735</v>
      </c>
      <c r="R234" s="17" t="s">
        <v>978</v>
      </c>
      <c r="S234" s="12"/>
      <c r="T234" s="12"/>
      <c r="U234" s="10" t="str">
        <f>HYPERLINK("https://pbs.twimg.com/profile_images/1064132042072498182/R_uR2kBL.jpg","View")</f>
        <v>View</v>
      </c>
    </row>
    <row r="235" spans="1:21" ht="61.2">
      <c r="A235" s="6">
        <v>43441.601666666669</v>
      </c>
      <c r="B235" s="7" t="str">
        <f>HYPERLINK("https://twitter.com/mcj_sfc","@mcj_sfc")</f>
        <v>@mcj_sfc</v>
      </c>
      <c r="C235" s="8" t="s">
        <v>272</v>
      </c>
      <c r="D235" s="9" t="s">
        <v>979</v>
      </c>
      <c r="E235" s="10" t="str">
        <f>HYPERLINK("https://twitter.com/mcj_sfc/status/1071033183674732544","1071033183674732544")</f>
        <v>1071033183674732544</v>
      </c>
      <c r="F235" s="11" t="s">
        <v>980</v>
      </c>
      <c r="G235" s="11" t="s">
        <v>981</v>
      </c>
      <c r="H235" s="12"/>
      <c r="I235" s="13">
        <v>0</v>
      </c>
      <c r="J235" s="13">
        <v>0</v>
      </c>
      <c r="K235" s="14" t="str">
        <f>HYPERLINK("http://twitter.com/download/android","Twitter for Android")</f>
        <v>Twitter for Android</v>
      </c>
      <c r="L235" s="13">
        <v>328</v>
      </c>
      <c r="M235" s="13">
        <v>311</v>
      </c>
      <c r="N235" s="13">
        <v>13</v>
      </c>
      <c r="O235" s="15"/>
      <c r="P235" s="6">
        <v>40307.910000000003</v>
      </c>
      <c r="Q235" s="16" t="s">
        <v>982</v>
      </c>
      <c r="R235" s="17" t="s">
        <v>983</v>
      </c>
      <c r="S235" s="11" t="s">
        <v>984</v>
      </c>
      <c r="T235" s="12"/>
      <c r="U235" s="10" t="str">
        <f>HYPERLINK("https://pbs.twimg.com/profile_images/851538738220077057/X71yAHhM.jpg","View")</f>
        <v>View</v>
      </c>
    </row>
    <row r="236" spans="1:21" ht="40.799999999999997">
      <c r="A236" s="6">
        <v>43441.600740740745</v>
      </c>
      <c r="B236" s="7" t="str">
        <f>HYPERLINK("https://twitter.com/protestona1","@protestona1")</f>
        <v>@protestona1</v>
      </c>
      <c r="C236" s="8" t="s">
        <v>732</v>
      </c>
      <c r="D236" s="9" t="s">
        <v>985</v>
      </c>
      <c r="E236" s="10" t="str">
        <f>HYPERLINK("https://twitter.com/protestona1/status/1071032847530647552","1071032847530647552")</f>
        <v>1071032847530647552</v>
      </c>
      <c r="F236" s="12"/>
      <c r="G236" s="12"/>
      <c r="H236" s="12"/>
      <c r="I236" s="13">
        <v>16</v>
      </c>
      <c r="J236" s="13">
        <v>53</v>
      </c>
      <c r="K236" s="14" t="str">
        <f>HYPERLINK("http://twitter.com/#!/download/ipad","Twitter for iPad")</f>
        <v>Twitter for iPad</v>
      </c>
      <c r="L236" s="13">
        <v>151623</v>
      </c>
      <c r="M236" s="13">
        <v>2214</v>
      </c>
      <c r="N236" s="13">
        <v>810</v>
      </c>
      <c r="O236" s="15"/>
      <c r="P236" s="6">
        <v>41352.82136574074</v>
      </c>
      <c r="Q236" s="16" t="s">
        <v>735</v>
      </c>
      <c r="R236" s="17" t="s">
        <v>736</v>
      </c>
      <c r="S236" s="11" t="s">
        <v>737</v>
      </c>
      <c r="T236" s="12"/>
      <c r="U236" s="10" t="str">
        <f>HYPERLINK("https://pbs.twimg.com/profile_images/1067148427048423431/NQxeU_SX.jpg","View")</f>
        <v>View</v>
      </c>
    </row>
    <row r="237" spans="1:21" ht="40.799999999999997">
      <c r="A237" s="6">
        <v>43441.599664351852</v>
      </c>
      <c r="B237" s="7" t="str">
        <f>HYPERLINK("https://twitter.com/jasusio","@jasusio")</f>
        <v>@jasusio</v>
      </c>
      <c r="C237" s="8" t="s">
        <v>986</v>
      </c>
      <c r="D237" s="9" t="s">
        <v>987</v>
      </c>
      <c r="E237" s="10" t="str">
        <f>HYPERLINK("https://twitter.com/jasusio/status/1071032457464553484","1071032457464553484")</f>
        <v>1071032457464553484</v>
      </c>
      <c r="F237" s="11" t="s">
        <v>144</v>
      </c>
      <c r="G237" s="12"/>
      <c r="H237" s="12"/>
      <c r="I237" s="13">
        <v>4</v>
      </c>
      <c r="J237" s="13">
        <v>0</v>
      </c>
      <c r="K237" s="14" t="str">
        <f>HYPERLINK("http://twitter.com","Twitter Web Client")</f>
        <v>Twitter Web Client</v>
      </c>
      <c r="L237" s="13">
        <v>5788</v>
      </c>
      <c r="M237" s="13">
        <v>5560</v>
      </c>
      <c r="N237" s="13">
        <v>45</v>
      </c>
      <c r="O237" s="15"/>
      <c r="P237" s="6">
        <v>40224.10428240741</v>
      </c>
      <c r="Q237" s="16" t="s">
        <v>48</v>
      </c>
      <c r="R237" s="17" t="s">
        <v>988</v>
      </c>
      <c r="S237" s="12"/>
      <c r="T237" s="12"/>
      <c r="U237" s="10" t="str">
        <f>HYPERLINK("https://pbs.twimg.com/profile_images/2273055900/xxsw04vb6r66zjxlj4o0.png","View")</f>
        <v>View</v>
      </c>
    </row>
    <row r="238" spans="1:21" ht="30.6">
      <c r="A238" s="6">
        <v>43441.59752314815</v>
      </c>
      <c r="B238" s="7" t="str">
        <f>HYPERLINK("https://twitter.com/Danielpb82","@Danielpb82")</f>
        <v>@Danielpb82</v>
      </c>
      <c r="C238" s="8" t="s">
        <v>989</v>
      </c>
      <c r="D238" s="9" t="s">
        <v>990</v>
      </c>
      <c r="E238" s="10" t="str">
        <f>HYPERLINK("https://twitter.com/Danielpb82/status/1071031682969538561","1071031682969538561")</f>
        <v>1071031682969538561</v>
      </c>
      <c r="F238" s="12"/>
      <c r="G238" s="12"/>
      <c r="H238" s="12"/>
      <c r="I238" s="13">
        <v>0</v>
      </c>
      <c r="J238" s="13">
        <v>0</v>
      </c>
      <c r="K238" s="14" t="str">
        <f>HYPERLINK("http://twitter.com/download/android","Twitter for Android")</f>
        <v>Twitter for Android</v>
      </c>
      <c r="L238" s="13">
        <v>188</v>
      </c>
      <c r="M238" s="13">
        <v>561</v>
      </c>
      <c r="N238" s="13">
        <v>9</v>
      </c>
      <c r="O238" s="15"/>
      <c r="P238" s="6">
        <v>41061.521006944444</v>
      </c>
      <c r="Q238" s="12"/>
      <c r="R238" s="17" t="s">
        <v>991</v>
      </c>
      <c r="S238" s="12"/>
      <c r="T238" s="12"/>
      <c r="U238" s="10" t="str">
        <f>HYPERLINK("https://pbs.twimg.com/profile_images/894969587846008838/Tn1RH4qq.jpg","View")</f>
        <v>View</v>
      </c>
    </row>
    <row r="239" spans="1:21" ht="40.799999999999997">
      <c r="A239" s="6">
        <v>43441.596585648149</v>
      </c>
      <c r="B239" s="7" t="str">
        <f>HYPERLINK("https://twitter.com/herrerobono","@herrerobono")</f>
        <v>@herrerobono</v>
      </c>
      <c r="C239" s="8" t="s">
        <v>992</v>
      </c>
      <c r="D239" s="9" t="s">
        <v>993</v>
      </c>
      <c r="E239" s="10" t="str">
        <f>HYPERLINK("https://twitter.com/herrerobono/status/1071031342308253696","1071031342308253696")</f>
        <v>1071031342308253696</v>
      </c>
      <c r="F239" s="12"/>
      <c r="G239" s="11" t="s">
        <v>994</v>
      </c>
      <c r="H239" s="12"/>
      <c r="I239" s="13">
        <v>11</v>
      </c>
      <c r="J239" s="13">
        <v>30</v>
      </c>
      <c r="K239" s="14" t="str">
        <f>HYPERLINK("http://twitter.com/download/iphone","Twitter for iPhone")</f>
        <v>Twitter for iPhone</v>
      </c>
      <c r="L239" s="13">
        <v>4580</v>
      </c>
      <c r="M239" s="13">
        <v>3865</v>
      </c>
      <c r="N239" s="13">
        <v>69</v>
      </c>
      <c r="O239" s="19" t="s">
        <v>44</v>
      </c>
      <c r="P239" s="6">
        <v>41941.598171296297</v>
      </c>
      <c r="Q239" s="16" t="s">
        <v>995</v>
      </c>
      <c r="R239" s="17" t="s">
        <v>996</v>
      </c>
      <c r="S239" s="11" t="s">
        <v>997</v>
      </c>
      <c r="T239" s="12"/>
      <c r="U239" s="10" t="str">
        <f>HYPERLINK("https://pbs.twimg.com/profile_images/1055389643242459137/CgdCLYKB.jpg","View")</f>
        <v>View</v>
      </c>
    </row>
    <row r="240" spans="1:21" ht="30.6">
      <c r="A240" s="6">
        <v>43441.595810185187</v>
      </c>
      <c r="B240" s="7" t="str">
        <f>HYPERLINK("https://twitter.com/PerezRota","@PerezRota")</f>
        <v>@PerezRota</v>
      </c>
      <c r="C240" s="8" t="s">
        <v>998</v>
      </c>
      <c r="D240" s="9" t="s">
        <v>999</v>
      </c>
      <c r="E240" s="10" t="str">
        <f>HYPERLINK("https://twitter.com/PerezRota/status/1071031060073496576","1071031060073496576")</f>
        <v>1071031060073496576</v>
      </c>
      <c r="F240" s="12"/>
      <c r="G240" s="12"/>
      <c r="H240" s="12"/>
      <c r="I240" s="13">
        <v>1</v>
      </c>
      <c r="J240" s="13">
        <v>0</v>
      </c>
      <c r="K240" s="14" t="str">
        <f>HYPERLINK("http://twitter.com/download/android","Twitter for Android")</f>
        <v>Twitter for Android</v>
      </c>
      <c r="L240" s="13">
        <v>4</v>
      </c>
      <c r="M240" s="13">
        <v>50</v>
      </c>
      <c r="N240" s="13">
        <v>0</v>
      </c>
      <c r="O240" s="15"/>
      <c r="P240" s="6">
        <v>42966.901550925926</v>
      </c>
      <c r="Q240" s="12"/>
      <c r="R240" s="20"/>
      <c r="S240" s="12"/>
      <c r="T240" s="12"/>
      <c r="U240" s="19" t="s">
        <v>359</v>
      </c>
    </row>
    <row r="241" spans="1:21" ht="20.399999999999999">
      <c r="A241" s="6">
        <v>43441.594594907408</v>
      </c>
      <c r="B241" s="7" t="str">
        <f>HYPERLINK("https://twitter.com/AntGainos","@AntGainos")</f>
        <v>@AntGainos</v>
      </c>
      <c r="C241" s="8" t="s">
        <v>1000</v>
      </c>
      <c r="D241" s="9" t="s">
        <v>273</v>
      </c>
      <c r="E241" s="10" t="str">
        <f>HYPERLINK("https://twitter.com/AntGainos/status/1071030619096997889","1071030619096997889")</f>
        <v>1071030619096997889</v>
      </c>
      <c r="F241" s="11" t="s">
        <v>1001</v>
      </c>
      <c r="G241" s="12"/>
      <c r="H241" s="12"/>
      <c r="I241" s="13">
        <v>0</v>
      </c>
      <c r="J241" s="13">
        <v>0</v>
      </c>
      <c r="K241" s="14" t="str">
        <f>HYPERLINK("http://twitter.com","Twitter Web Client")</f>
        <v>Twitter Web Client</v>
      </c>
      <c r="L241" s="13">
        <v>552</v>
      </c>
      <c r="M241" s="13">
        <v>553</v>
      </c>
      <c r="N241" s="13">
        <v>9</v>
      </c>
      <c r="O241" s="15"/>
      <c r="P241" s="6">
        <v>40643.846689814818</v>
      </c>
      <c r="Q241" s="16" t="s">
        <v>325</v>
      </c>
      <c r="R241" s="20"/>
      <c r="S241" s="12"/>
      <c r="T241" s="12"/>
      <c r="U241" s="10" t="str">
        <f>HYPERLINK("https://pbs.twimg.com/profile_images/1034402549011542016/iBP_Fz3r.jpg","View")</f>
        <v>View</v>
      </c>
    </row>
    <row r="242" spans="1:21" ht="30.6">
      <c r="A242" s="6">
        <v>43441.594421296293</v>
      </c>
      <c r="B242" s="7" t="str">
        <f>HYPERLINK("https://twitter.com/ManchoPanchez","@ManchoPanchez")</f>
        <v>@ManchoPanchez</v>
      </c>
      <c r="C242" s="8" t="s">
        <v>1002</v>
      </c>
      <c r="D242" s="9" t="s">
        <v>1003</v>
      </c>
      <c r="E242" s="10" t="str">
        <f>HYPERLINK("https://twitter.com/ManchoPanchez/status/1071030557713285125","1071030557713285125")</f>
        <v>1071030557713285125</v>
      </c>
      <c r="F242" s="12"/>
      <c r="G242" s="11" t="s">
        <v>1004</v>
      </c>
      <c r="H242" s="12"/>
      <c r="I242" s="13">
        <v>0</v>
      </c>
      <c r="J242" s="13">
        <v>0</v>
      </c>
      <c r="K242" s="14" t="str">
        <f>HYPERLINK("http://twitter.com/download/android","Twitter for Android")</f>
        <v>Twitter for Android</v>
      </c>
      <c r="L242" s="13">
        <v>1303</v>
      </c>
      <c r="M242" s="13">
        <v>1381</v>
      </c>
      <c r="N242" s="13">
        <v>12</v>
      </c>
      <c r="O242" s="15"/>
      <c r="P242" s="6">
        <v>40555.372731481482</v>
      </c>
      <c r="Q242" s="16" t="s">
        <v>1005</v>
      </c>
      <c r="R242" s="17" t="s">
        <v>1006</v>
      </c>
      <c r="S242" s="12"/>
      <c r="T242" s="12"/>
      <c r="U242" s="10" t="str">
        <f>HYPERLINK("https://pbs.twimg.com/profile_images/907345305405927427/4a2weZe1.jpg","View")</f>
        <v>View</v>
      </c>
    </row>
    <row r="243" spans="1:21" ht="40.799999999999997">
      <c r="A243" s="6">
        <v>43441.593969907408</v>
      </c>
      <c r="B243" s="7" t="str">
        <f>HYPERLINK("https://twitter.com/Confraria_SEDR","@Confraria_SEDR")</f>
        <v>@Confraria_SEDR</v>
      </c>
      <c r="C243" s="8" t="s">
        <v>1007</v>
      </c>
      <c r="D243" s="9" t="s">
        <v>1008</v>
      </c>
      <c r="E243" s="10" t="str">
        <f>HYPERLINK("https://twitter.com/Confraria_SEDR/status/1071030395662188545","1071030395662188545")</f>
        <v>1071030395662188545</v>
      </c>
      <c r="F243" s="12"/>
      <c r="G243" s="12"/>
      <c r="H243" s="12"/>
      <c r="I243" s="13">
        <v>0</v>
      </c>
      <c r="J243" s="13">
        <v>3</v>
      </c>
      <c r="K243" s="14" t="str">
        <f>HYPERLINK("https://mobile.twitter.com","Twitter Lite")</f>
        <v>Twitter Lite</v>
      </c>
      <c r="L243" s="13">
        <v>2432</v>
      </c>
      <c r="M243" s="13">
        <v>2400</v>
      </c>
      <c r="N243" s="13">
        <v>10</v>
      </c>
      <c r="O243" s="15"/>
      <c r="P243" s="6">
        <v>43211.781400462962</v>
      </c>
      <c r="Q243" s="16" t="s">
        <v>816</v>
      </c>
      <c r="R243" s="17" t="s">
        <v>1009</v>
      </c>
      <c r="S243" s="12"/>
      <c r="T243" s="12"/>
      <c r="U243" s="10" t="str">
        <f>HYPERLINK("https://pbs.twimg.com/profile_images/987735438449430528/T2JllVAP.jpg","View")</f>
        <v>View</v>
      </c>
    </row>
    <row r="244" spans="1:21" ht="40.799999999999997">
      <c r="A244" s="6">
        <v>43441.593842592592</v>
      </c>
      <c r="B244" s="7" t="str">
        <f>HYPERLINK("https://twitter.com/paroxia","@paroxia")</f>
        <v>@paroxia</v>
      </c>
      <c r="C244" s="8" t="s">
        <v>1010</v>
      </c>
      <c r="D244" s="9" t="s">
        <v>1011</v>
      </c>
      <c r="E244" s="10" t="str">
        <f>HYPERLINK("https://twitter.com/paroxia/status/1071030346806890501","1071030346806890501")</f>
        <v>1071030346806890501</v>
      </c>
      <c r="F244" s="12"/>
      <c r="G244" s="12"/>
      <c r="H244" s="12"/>
      <c r="I244" s="13">
        <v>0</v>
      </c>
      <c r="J244" s="13">
        <v>0</v>
      </c>
      <c r="K244" s="14" t="str">
        <f>HYPERLINK("http://twitter.com/download/android","Twitter for Android")</f>
        <v>Twitter for Android</v>
      </c>
      <c r="L244" s="13">
        <v>2249</v>
      </c>
      <c r="M244" s="13">
        <v>1006</v>
      </c>
      <c r="N244" s="13">
        <v>82</v>
      </c>
      <c r="O244" s="15"/>
      <c r="P244" s="6">
        <v>40429.718784722223</v>
      </c>
      <c r="Q244" s="16" t="s">
        <v>48</v>
      </c>
      <c r="R244" s="17" t="s">
        <v>1012</v>
      </c>
      <c r="S244" s="11" t="s">
        <v>1013</v>
      </c>
      <c r="T244" s="12"/>
      <c r="U244" s="10" t="str">
        <f>HYPERLINK("https://pbs.twimg.com/profile_images/842806756401188866/DIzxUqkH.jpg","View")</f>
        <v>View</v>
      </c>
    </row>
    <row r="245" spans="1:21" ht="51">
      <c r="A245" s="6">
        <v>43441.584421296298</v>
      </c>
      <c r="B245" s="7" t="str">
        <f>HYPERLINK("https://twitter.com/Chinobi_Ninja","@Chinobi_Ninja")</f>
        <v>@Chinobi_Ninja</v>
      </c>
      <c r="C245" s="8" t="s">
        <v>1015</v>
      </c>
      <c r="D245" s="9" t="s">
        <v>1016</v>
      </c>
      <c r="E245" s="10" t="str">
        <f>HYPERLINK("https://twitter.com/Chinobi_Ninja/status/1071026935302631424","1071026935302631424")</f>
        <v>1071026935302631424</v>
      </c>
      <c r="F245" s="12"/>
      <c r="G245" s="12"/>
      <c r="H245" s="12"/>
      <c r="I245" s="13">
        <v>2</v>
      </c>
      <c r="J245" s="13">
        <v>0</v>
      </c>
      <c r="K245" s="14" t="str">
        <f t="shared" ref="K245:K246" si="42">HYPERLINK("http://twitter.com","Twitter Web Client")</f>
        <v>Twitter Web Client</v>
      </c>
      <c r="L245" s="13">
        <v>3047</v>
      </c>
      <c r="M245" s="13">
        <v>421</v>
      </c>
      <c r="N245" s="13">
        <v>39</v>
      </c>
      <c r="O245" s="15"/>
      <c r="P245" s="6">
        <v>40365.515324074076</v>
      </c>
      <c r="Q245" s="16" t="s">
        <v>1020</v>
      </c>
      <c r="R245" s="17" t="s">
        <v>1021</v>
      </c>
      <c r="S245" s="11" t="s">
        <v>1022</v>
      </c>
      <c r="T245" s="12"/>
      <c r="U245" s="10" t="str">
        <f>HYPERLINK("https://pbs.twimg.com/profile_images/1058003010725576704/V8nkXhsn.jpg","View")</f>
        <v>View</v>
      </c>
    </row>
    <row r="246" spans="1:21" ht="51">
      <c r="A246" s="6">
        <v>43441.58421296296</v>
      </c>
      <c r="B246" s="7" t="str">
        <f>HYPERLINK("https://twitter.com/Concepc98510820","@Concepc98510820")</f>
        <v>@Concepc98510820</v>
      </c>
      <c r="C246" s="8" t="s">
        <v>1023</v>
      </c>
      <c r="D246" s="9" t="s">
        <v>1024</v>
      </c>
      <c r="E246" s="10" t="str">
        <f>HYPERLINK("https://twitter.com/Concepc98510820/status/1071026858421030913","1071026858421030913")</f>
        <v>1071026858421030913</v>
      </c>
      <c r="F246" s="11" t="s">
        <v>1025</v>
      </c>
      <c r="G246" s="12"/>
      <c r="H246" s="12"/>
      <c r="I246" s="13">
        <v>11</v>
      </c>
      <c r="J246" s="13">
        <v>15</v>
      </c>
      <c r="K246" s="14" t="str">
        <f t="shared" si="42"/>
        <v>Twitter Web Client</v>
      </c>
      <c r="L246" s="13">
        <v>739</v>
      </c>
      <c r="M246" s="13">
        <v>339</v>
      </c>
      <c r="N246" s="13">
        <v>3</v>
      </c>
      <c r="O246" s="15"/>
      <c r="P246" s="6">
        <v>43000.366782407407</v>
      </c>
      <c r="Q246" s="12"/>
      <c r="R246" s="17" t="s">
        <v>1026</v>
      </c>
      <c r="S246" s="12"/>
      <c r="T246" s="12"/>
      <c r="U246" s="10" t="str">
        <f>HYPERLINK("https://pbs.twimg.com/profile_images/1012999387205832704/BtuOFMFu.jpg","View")</f>
        <v>View</v>
      </c>
    </row>
    <row r="247" spans="1:21" ht="30.6">
      <c r="A247" s="6">
        <v>43441.583807870367</v>
      </c>
      <c r="B247" s="7" t="str">
        <f>HYPERLINK("https://twitter.com/TaniaCrespo3","@TaniaCrespo3")</f>
        <v>@TaniaCrespo3</v>
      </c>
      <c r="C247" s="8" t="s">
        <v>1027</v>
      </c>
      <c r="D247" s="9" t="s">
        <v>1028</v>
      </c>
      <c r="E247" s="10" t="str">
        <f>HYPERLINK("https://twitter.com/TaniaCrespo3/status/1071026710982709250","1071026710982709250")</f>
        <v>1071026710982709250</v>
      </c>
      <c r="F247" s="11" t="s">
        <v>127</v>
      </c>
      <c r="G247" s="12"/>
      <c r="H247" s="12"/>
      <c r="I247" s="13">
        <v>20</v>
      </c>
      <c r="J247" s="13">
        <v>22</v>
      </c>
      <c r="K247" s="14" t="str">
        <f>HYPERLINK("http://twitter.com/download/android","Twitter for Android")</f>
        <v>Twitter for Android</v>
      </c>
      <c r="L247" s="13">
        <v>923</v>
      </c>
      <c r="M247" s="13">
        <v>1765</v>
      </c>
      <c r="N247" s="13">
        <v>0</v>
      </c>
      <c r="O247" s="15"/>
      <c r="P247" s="6">
        <v>43257.829548611116</v>
      </c>
      <c r="Q247" s="16" t="s">
        <v>1029</v>
      </c>
      <c r="R247" s="17" t="s">
        <v>1030</v>
      </c>
      <c r="S247" s="12"/>
      <c r="T247" s="12"/>
      <c r="U247" s="10" t="str">
        <f>HYPERLINK("https://pbs.twimg.com/profile_images/1004426598471340033/zL90kJim.jpg","View")</f>
        <v>View</v>
      </c>
    </row>
    <row r="248" spans="1:21" ht="51">
      <c r="A248" s="6">
        <v>43441.582280092596</v>
      </c>
      <c r="B248" s="7" t="str">
        <f>HYPERLINK("https://twitter.com/lavozdelsures","@lavozdelsures")</f>
        <v>@lavozdelsures</v>
      </c>
      <c r="C248" s="21" t="s">
        <v>1031</v>
      </c>
      <c r="D248" s="9" t="s">
        <v>1032</v>
      </c>
      <c r="E248" s="10" t="str">
        <f>HYPERLINK("https://twitter.com/lavozdelsures/status/1071026159058440193","1071026159058440193")</f>
        <v>1071026159058440193</v>
      </c>
      <c r="F248" s="11" t="s">
        <v>1033</v>
      </c>
      <c r="G248" s="12"/>
      <c r="H248" s="12"/>
      <c r="I248" s="13">
        <v>1</v>
      </c>
      <c r="J248" s="13">
        <v>0</v>
      </c>
      <c r="K248" s="14" t="str">
        <f t="shared" ref="K248:K249" si="43">HYPERLINK("http://twitter.com/download/iphone","Twitter for iPhone")</f>
        <v>Twitter for iPhone</v>
      </c>
      <c r="L248" s="13">
        <v>8280</v>
      </c>
      <c r="M248" s="13">
        <v>2230</v>
      </c>
      <c r="N248" s="13">
        <v>208</v>
      </c>
      <c r="O248" s="15"/>
      <c r="P248" s="6">
        <v>41062.615567129629</v>
      </c>
      <c r="Q248" s="16" t="s">
        <v>1034</v>
      </c>
      <c r="R248" s="17" t="s">
        <v>1035</v>
      </c>
      <c r="S248" s="11" t="s">
        <v>1036</v>
      </c>
      <c r="T248" s="12"/>
      <c r="U248" s="10" t="str">
        <f>HYPERLINK("https://pbs.twimg.com/profile_images/935431870799667200/pIMv75qq.jpg","View")</f>
        <v>View</v>
      </c>
    </row>
    <row r="249" spans="1:21" ht="30.6">
      <c r="A249" s="6">
        <v>43441.578611111108</v>
      </c>
      <c r="B249" s="7" t="str">
        <f>HYPERLINK("https://twitter.com/Antiintermedio","@Antiintermedio")</f>
        <v>@Antiintermedio</v>
      </c>
      <c r="C249" s="8" t="s">
        <v>1037</v>
      </c>
      <c r="D249" s="9" t="s">
        <v>1038</v>
      </c>
      <c r="E249" s="10" t="str">
        <f>HYPERLINK("https://twitter.com/Antiintermedio/status/1071024828830896128","1071024828830896128")</f>
        <v>1071024828830896128</v>
      </c>
      <c r="F249" s="12"/>
      <c r="G249" s="12"/>
      <c r="H249" s="12"/>
      <c r="I249" s="13">
        <v>25</v>
      </c>
      <c r="J249" s="13">
        <v>78</v>
      </c>
      <c r="K249" s="14" t="str">
        <f t="shared" si="43"/>
        <v>Twitter for iPhone</v>
      </c>
      <c r="L249" s="13">
        <v>18586</v>
      </c>
      <c r="M249" s="13">
        <v>453</v>
      </c>
      <c r="N249" s="13">
        <v>196</v>
      </c>
      <c r="O249" s="15"/>
      <c r="P249" s="6">
        <v>41686.038981481484</v>
      </c>
      <c r="Q249" s="12"/>
      <c r="R249" s="17" t="s">
        <v>1039</v>
      </c>
      <c r="S249" s="12"/>
      <c r="T249" s="12"/>
      <c r="U249" s="10" t="str">
        <f>HYPERLINK("https://pbs.twimg.com/profile_images/898684538188115969/a1QEwxJV.jpg","View")</f>
        <v>View</v>
      </c>
    </row>
    <row r="250" spans="1:21" ht="51">
      <c r="A250" s="6">
        <v>43441.574467592596</v>
      </c>
      <c r="B250" s="7" t="str">
        <f>HYPERLINK("https://twitter.com/EFE_Murcia","@EFE_Murcia")</f>
        <v>@EFE_Murcia</v>
      </c>
      <c r="C250" s="8" t="s">
        <v>211</v>
      </c>
      <c r="D250" s="9" t="s">
        <v>1040</v>
      </c>
      <c r="E250" s="10" t="str">
        <f>HYPERLINK("https://twitter.com/EFE_Murcia/status/1071023327643353088","1071023327643353088")</f>
        <v>1071023327643353088</v>
      </c>
      <c r="F250" s="12"/>
      <c r="G250" s="11" t="s">
        <v>1041</v>
      </c>
      <c r="H250" s="12"/>
      <c r="I250" s="13">
        <v>0</v>
      </c>
      <c r="J250" s="13">
        <v>0</v>
      </c>
      <c r="K250" s="14" t="str">
        <f>HYPERLINK("http://twitter.com","Twitter Web Client")</f>
        <v>Twitter Web Client</v>
      </c>
      <c r="L250" s="13">
        <v>796</v>
      </c>
      <c r="M250" s="13">
        <v>218</v>
      </c>
      <c r="N250" s="13">
        <v>19</v>
      </c>
      <c r="O250" s="15"/>
      <c r="P250" s="6">
        <v>42080.789930555555</v>
      </c>
      <c r="Q250" s="16" t="s">
        <v>96</v>
      </c>
      <c r="R250" s="17" t="s">
        <v>214</v>
      </c>
      <c r="S250" s="11" t="s">
        <v>168</v>
      </c>
      <c r="T250" s="12"/>
      <c r="U250" s="10" t="str">
        <f>HYPERLINK("https://pbs.twimg.com/profile_images/628209894202703873/iWZEsZZ9.png","View")</f>
        <v>View</v>
      </c>
    </row>
    <row r="251" spans="1:21" ht="20.399999999999999">
      <c r="A251" s="6">
        <v>43441.573692129634</v>
      </c>
      <c r="B251" s="7" t="str">
        <f>HYPERLINK("https://twitter.com/AndaluciaSinVOX","@AndaluciaSinVOX")</f>
        <v>@AndaluciaSinVOX</v>
      </c>
      <c r="C251" s="8" t="s">
        <v>1042</v>
      </c>
      <c r="D251" s="9" t="s">
        <v>1043</v>
      </c>
      <c r="E251" s="10" t="str">
        <f>HYPERLINK("https://twitter.com/AndaluciaSinVOX/status/1071023046054592513","1071023046054592513")</f>
        <v>1071023046054592513</v>
      </c>
      <c r="F251" s="11" t="s">
        <v>144</v>
      </c>
      <c r="G251" s="12"/>
      <c r="H251" s="12"/>
      <c r="I251" s="13">
        <v>7</v>
      </c>
      <c r="J251" s="13">
        <v>3</v>
      </c>
      <c r="K251" s="14" t="str">
        <f>HYPERLINK("http://twitter.com/download/iphone","Twitter for iPhone")</f>
        <v>Twitter for iPhone</v>
      </c>
      <c r="L251" s="13">
        <v>410</v>
      </c>
      <c r="M251" s="13">
        <v>915</v>
      </c>
      <c r="N251" s="13">
        <v>0</v>
      </c>
      <c r="O251" s="15"/>
      <c r="P251" s="6">
        <v>43438.789027777777</v>
      </c>
      <c r="Q251" s="12"/>
      <c r="R251" s="17" t="s">
        <v>1044</v>
      </c>
      <c r="S251" s="12"/>
      <c r="T251" s="12"/>
      <c r="U251" s="10" t="str">
        <f>HYPERLINK("https://pbs.twimg.com/profile_images/1070802382471221248/0lriv6CL.jpg","View")</f>
        <v>View</v>
      </c>
    </row>
    <row r="252" spans="1:21" ht="20.399999999999999">
      <c r="A252" s="6">
        <v>43441.566770833335</v>
      </c>
      <c r="B252" s="7" t="str">
        <f>HYPERLINK("https://twitter.com/lafm_es","@lafm_es")</f>
        <v>@lafm_es</v>
      </c>
      <c r="C252" s="8" t="s">
        <v>1045</v>
      </c>
      <c r="D252" s="9" t="s">
        <v>1046</v>
      </c>
      <c r="E252" s="10" t="str">
        <f>HYPERLINK("https://twitter.com/lafm_es/status/1071020536128569344","1071020536128569344")</f>
        <v>1071020536128569344</v>
      </c>
      <c r="F252" s="11" t="s">
        <v>1047</v>
      </c>
      <c r="G252" s="11" t="s">
        <v>1048</v>
      </c>
      <c r="H252" s="12"/>
      <c r="I252" s="13">
        <v>2</v>
      </c>
      <c r="J252" s="13">
        <v>1</v>
      </c>
      <c r="K252" s="14" t="str">
        <f>HYPERLINK("http://twitter.com","Twitter Web Client")</f>
        <v>Twitter Web Client</v>
      </c>
      <c r="L252" s="13">
        <v>1962</v>
      </c>
      <c r="M252" s="13">
        <v>2573</v>
      </c>
      <c r="N252" s="13">
        <v>41</v>
      </c>
      <c r="O252" s="15"/>
      <c r="P252" s="6">
        <v>42286.043402777781</v>
      </c>
      <c r="Q252" s="16" t="s">
        <v>1049</v>
      </c>
      <c r="R252" s="17" t="s">
        <v>1050</v>
      </c>
      <c r="S252" s="11" t="s">
        <v>1051</v>
      </c>
      <c r="T252" s="12"/>
      <c r="U252" s="10" t="str">
        <f>HYPERLINK("https://pbs.twimg.com/profile_images/972085023884152832/oKl62acg.jpg","View")</f>
        <v>View</v>
      </c>
    </row>
    <row r="253" spans="1:21" ht="51">
      <c r="A253" s="6">
        <v>43441.566712962958</v>
      </c>
      <c r="B253" s="7" t="str">
        <f>HYPERLINK("https://twitter.com/eltrombus","@eltrombus")</f>
        <v>@eltrombus</v>
      </c>
      <c r="C253" s="8" t="s">
        <v>1052</v>
      </c>
      <c r="D253" s="9" t="s">
        <v>1053</v>
      </c>
      <c r="E253" s="10" t="str">
        <f>HYPERLINK("https://twitter.com/eltrombus/status/1071020515266125824","1071020515266125824")</f>
        <v>1071020515266125824</v>
      </c>
      <c r="F253" s="12"/>
      <c r="G253" s="12"/>
      <c r="H253" s="12"/>
      <c r="I253" s="13">
        <v>0</v>
      </c>
      <c r="J253" s="13">
        <v>0</v>
      </c>
      <c r="K253" s="14" t="str">
        <f>HYPERLINK("http://twitter.com/download/iphone","Twitter for iPhone")</f>
        <v>Twitter for iPhone</v>
      </c>
      <c r="L253" s="13">
        <v>5</v>
      </c>
      <c r="M253" s="13">
        <v>0</v>
      </c>
      <c r="N253" s="13">
        <v>0</v>
      </c>
      <c r="O253" s="15"/>
      <c r="P253" s="6">
        <v>42403.528101851851</v>
      </c>
      <c r="Q253" s="12"/>
      <c r="R253" s="20"/>
      <c r="S253" s="12"/>
      <c r="T253" s="12"/>
      <c r="U253" s="19" t="s">
        <v>359</v>
      </c>
    </row>
    <row r="254" spans="1:21" ht="112.2">
      <c r="A254" s="6">
        <v>43441.566122685181</v>
      </c>
      <c r="B254" s="7" t="str">
        <f>HYPERLINK("https://twitter.com/Ana_AnteLaNoche","@Ana_AnteLaNoche")</f>
        <v>@Ana_AnteLaNoche</v>
      </c>
      <c r="C254" s="8" t="s">
        <v>1054</v>
      </c>
      <c r="D254" s="9" t="s">
        <v>1055</v>
      </c>
      <c r="E254" s="10" t="str">
        <f>HYPERLINK("https://twitter.com/Ana_AnteLaNoche/status/1071020303281741825","1071020303281741825")</f>
        <v>1071020303281741825</v>
      </c>
      <c r="F254" s="16" t="s">
        <v>1056</v>
      </c>
      <c r="G254" s="12"/>
      <c r="H254" s="12"/>
      <c r="I254" s="13">
        <v>1</v>
      </c>
      <c r="J254" s="13">
        <v>0</v>
      </c>
      <c r="K254" s="14" t="str">
        <f>HYPERLINK("http://twitter.com","Twitter Web Client")</f>
        <v>Twitter Web Client</v>
      </c>
      <c r="L254" s="13">
        <v>226</v>
      </c>
      <c r="M254" s="13">
        <v>532</v>
      </c>
      <c r="N254" s="13">
        <v>4</v>
      </c>
      <c r="O254" s="15"/>
      <c r="P254" s="6">
        <v>40685.043773148151</v>
      </c>
      <c r="Q254" s="16" t="s">
        <v>1057</v>
      </c>
      <c r="R254" s="17" t="s">
        <v>1058</v>
      </c>
      <c r="S254" s="12"/>
      <c r="T254" s="12"/>
      <c r="U254" s="10" t="str">
        <f>HYPERLINK("https://pbs.twimg.com/profile_images/691505818345283584/Kafz5diB.jpg","View")</f>
        <v>View</v>
      </c>
    </row>
    <row r="255" spans="1:21" ht="51">
      <c r="A255" s="6">
        <v>43441.564652777779</v>
      </c>
      <c r="B255" s="7" t="str">
        <f>HYPERLINK("https://twitter.com/VeroPapelretro","@VeroPapelretro")</f>
        <v>@VeroPapelretro</v>
      </c>
      <c r="C255" s="8" t="s">
        <v>1059</v>
      </c>
      <c r="D255" s="9" t="s">
        <v>1060</v>
      </c>
      <c r="E255" s="10" t="str">
        <f>HYPERLINK("https://twitter.com/VeroPapelretro/status/1071019768298250240","1071019768298250240")</f>
        <v>1071019768298250240</v>
      </c>
      <c r="F255" s="12"/>
      <c r="G255" s="12"/>
      <c r="H255" s="12"/>
      <c r="I255" s="13">
        <v>2</v>
      </c>
      <c r="J255" s="13">
        <v>6</v>
      </c>
      <c r="K255" s="14" t="str">
        <f t="shared" ref="K255:K258" si="44">HYPERLINK("http://twitter.com/download/android","Twitter for Android")</f>
        <v>Twitter for Android</v>
      </c>
      <c r="L255" s="13">
        <v>422</v>
      </c>
      <c r="M255" s="13">
        <v>1189</v>
      </c>
      <c r="N255" s="13">
        <v>5</v>
      </c>
      <c r="O255" s="15"/>
      <c r="P255" s="6">
        <v>40801.873981481483</v>
      </c>
      <c r="Q255" s="16" t="s">
        <v>795</v>
      </c>
      <c r="R255" s="17" t="s">
        <v>1061</v>
      </c>
      <c r="S255" s="12"/>
      <c r="T255" s="12"/>
      <c r="U255" s="10" t="str">
        <f>HYPERLINK("https://pbs.twimg.com/profile_images/1062463333985587202/UCJpXtWB.jpg","View")</f>
        <v>View</v>
      </c>
    </row>
    <row r="256" spans="1:21" ht="13.2">
      <c r="A256" s="6">
        <v>43441.558055555557</v>
      </c>
      <c r="B256" s="7" t="str">
        <f>HYPERLINK("https://twitter.com/xZutano","@xZutano")</f>
        <v>@xZutano</v>
      </c>
      <c r="C256" s="8" t="s">
        <v>1062</v>
      </c>
      <c r="D256" s="9" t="s">
        <v>1063</v>
      </c>
      <c r="E256" s="10" t="str">
        <f>HYPERLINK("https://twitter.com/xZutano/status/1071017378031566848","1071017378031566848")</f>
        <v>1071017378031566848</v>
      </c>
      <c r="F256" s="12"/>
      <c r="G256" s="12"/>
      <c r="H256" s="12"/>
      <c r="I256" s="13">
        <v>0</v>
      </c>
      <c r="J256" s="13">
        <v>0</v>
      </c>
      <c r="K256" s="14" t="str">
        <f t="shared" si="44"/>
        <v>Twitter for Android</v>
      </c>
      <c r="L256" s="13">
        <v>68</v>
      </c>
      <c r="M256" s="13">
        <v>37</v>
      </c>
      <c r="N256" s="13">
        <v>1</v>
      </c>
      <c r="O256" s="15"/>
      <c r="P256" s="6">
        <v>43286.037800925929</v>
      </c>
      <c r="Q256" s="12"/>
      <c r="R256" s="20"/>
      <c r="S256" s="12"/>
      <c r="T256" s="12"/>
      <c r="U256" s="10" t="str">
        <f>HYPERLINK("https://pbs.twimg.com/profile_images/1067024450128879616/a4hX4VfI.jpg","View")</f>
        <v>View</v>
      </c>
    </row>
    <row r="257" spans="1:21" ht="30.6">
      <c r="A257" s="6">
        <v>43441.556805555556</v>
      </c>
      <c r="B257" s="7" t="str">
        <f>HYPERLINK("https://twitter.com/pepavivas","@pepavivas")</f>
        <v>@pepavivas</v>
      </c>
      <c r="C257" s="8" t="s">
        <v>1064</v>
      </c>
      <c r="D257" s="9" t="s">
        <v>1065</v>
      </c>
      <c r="E257" s="10" t="str">
        <f>HYPERLINK("https://twitter.com/pepavivas/status/1071016926791507968","1071016926791507968")</f>
        <v>1071016926791507968</v>
      </c>
      <c r="F257" s="11" t="s">
        <v>1066</v>
      </c>
      <c r="G257" s="12"/>
      <c r="H257" s="12"/>
      <c r="I257" s="13">
        <v>1</v>
      </c>
      <c r="J257" s="13">
        <v>1</v>
      </c>
      <c r="K257" s="14" t="str">
        <f t="shared" si="44"/>
        <v>Twitter for Android</v>
      </c>
      <c r="L257" s="13">
        <v>6314</v>
      </c>
      <c r="M257" s="13">
        <v>4621</v>
      </c>
      <c r="N257" s="13">
        <v>60</v>
      </c>
      <c r="O257" s="15"/>
      <c r="P257" s="6">
        <v>40559.79623842593</v>
      </c>
      <c r="Q257" s="16" t="s">
        <v>1067</v>
      </c>
      <c r="R257" s="17" t="s">
        <v>1068</v>
      </c>
      <c r="S257" s="12"/>
      <c r="T257" s="12"/>
      <c r="U257" s="10" t="str">
        <f>HYPERLINK("https://pbs.twimg.com/profile_images/479570691889434624/jpJ1b-HA.png","View")</f>
        <v>View</v>
      </c>
    </row>
    <row r="258" spans="1:21" ht="40.799999999999997">
      <c r="A258" s="6">
        <v>43441.55569444444</v>
      </c>
      <c r="B258" s="7" t="str">
        <f>HYPERLINK("https://twitter.com/JC_C_A","@JC_C_A")</f>
        <v>@JC_C_A</v>
      </c>
      <c r="C258" s="8" t="s">
        <v>630</v>
      </c>
      <c r="D258" s="9" t="s">
        <v>1069</v>
      </c>
      <c r="E258" s="10" t="str">
        <f>HYPERLINK("https://twitter.com/JC_C_A/status/1071016525010792448","1071016525010792448")</f>
        <v>1071016525010792448</v>
      </c>
      <c r="F258" s="12"/>
      <c r="G258" s="12"/>
      <c r="H258" s="12"/>
      <c r="I258" s="13">
        <v>1</v>
      </c>
      <c r="J258" s="13">
        <v>1</v>
      </c>
      <c r="K258" s="14" t="str">
        <f t="shared" si="44"/>
        <v>Twitter for Android</v>
      </c>
      <c r="L258" s="13">
        <v>1535</v>
      </c>
      <c r="M258" s="13">
        <v>1285</v>
      </c>
      <c r="N258" s="13">
        <v>4</v>
      </c>
      <c r="O258" s="15"/>
      <c r="P258" s="6">
        <v>43055.93885416667</v>
      </c>
      <c r="Q258" s="16" t="s">
        <v>632</v>
      </c>
      <c r="R258" s="17" t="s">
        <v>633</v>
      </c>
      <c r="S258" s="12"/>
      <c r="T258" s="12"/>
      <c r="U258" s="10" t="str">
        <f>HYPERLINK("https://pbs.twimg.com/profile_images/1029775179520647169/gj_YgLkP.jpg","View")</f>
        <v>View</v>
      </c>
    </row>
    <row r="259" spans="1:21" ht="30.6">
      <c r="A259" s="6">
        <v>43441.552384259259</v>
      </c>
      <c r="B259" s="7" t="str">
        <f>HYPERLINK("https://twitter.com/NicolsBote","@NicolsBote")</f>
        <v>@NicolsBote</v>
      </c>
      <c r="C259" s="8" t="s">
        <v>1070</v>
      </c>
      <c r="D259" s="9" t="s">
        <v>273</v>
      </c>
      <c r="E259" s="10" t="str">
        <f>HYPERLINK("https://twitter.com/NicolsBote/status/1071015325766967296","1071015325766967296")</f>
        <v>1071015325766967296</v>
      </c>
      <c r="F259" s="11" t="s">
        <v>144</v>
      </c>
      <c r="G259" s="12"/>
      <c r="H259" s="12"/>
      <c r="I259" s="13">
        <v>1</v>
      </c>
      <c r="J259" s="13">
        <v>1</v>
      </c>
      <c r="K259" s="14" t="str">
        <f>HYPERLINK("http://twitter.com","Twitter Web Client")</f>
        <v>Twitter Web Client</v>
      </c>
      <c r="L259" s="13">
        <v>15443</v>
      </c>
      <c r="M259" s="13">
        <v>14827</v>
      </c>
      <c r="N259" s="13">
        <v>46</v>
      </c>
      <c r="O259" s="15"/>
      <c r="P259" s="6">
        <v>40823.843865740739</v>
      </c>
      <c r="Q259" s="16" t="s">
        <v>1071</v>
      </c>
      <c r="R259" s="17" t="s">
        <v>1072</v>
      </c>
      <c r="S259" s="12"/>
      <c r="T259" s="12"/>
      <c r="U259" s="10" t="str">
        <f>HYPERLINK("https://pbs.twimg.com/profile_images/922070156179918848/VyGWAmAm.jpg","View")</f>
        <v>View</v>
      </c>
    </row>
    <row r="260" spans="1:21" ht="51">
      <c r="A260" s="6">
        <v>43441.546354166669</v>
      </c>
      <c r="B260" s="7" t="str">
        <f>HYPERLINK("https://twitter.com/eldiarioes","@eldiarioes")</f>
        <v>@eldiarioes</v>
      </c>
      <c r="C260" s="21" t="s">
        <v>964</v>
      </c>
      <c r="D260" s="9" t="s">
        <v>1073</v>
      </c>
      <c r="E260" s="10" t="str">
        <f>HYPERLINK("https://twitter.com/eldiarioes/status/1071013137959305217","1071013137959305217")</f>
        <v>1071013137959305217</v>
      </c>
      <c r="F260" s="11" t="s">
        <v>296</v>
      </c>
      <c r="G260" s="11" t="s">
        <v>1074</v>
      </c>
      <c r="H260" s="12"/>
      <c r="I260" s="13">
        <v>34</v>
      </c>
      <c r="J260" s="13">
        <v>23</v>
      </c>
      <c r="K260" s="14" t="str">
        <f>HYPERLINK("https://about.twitter.com/products/tweetdeck","TweetDeck")</f>
        <v>TweetDeck</v>
      </c>
      <c r="L260" s="13">
        <v>940168</v>
      </c>
      <c r="M260" s="13">
        <v>456</v>
      </c>
      <c r="N260" s="13">
        <v>11261</v>
      </c>
      <c r="O260" s="19" t="s">
        <v>44</v>
      </c>
      <c r="P260" s="6">
        <v>40992.839189814811</v>
      </c>
      <c r="Q260" s="12"/>
      <c r="R260" s="17" t="s">
        <v>965</v>
      </c>
      <c r="S260" s="11" t="s">
        <v>966</v>
      </c>
      <c r="T260" s="12"/>
      <c r="U260" s="10" t="str">
        <f>HYPERLINK("https://pbs.twimg.com/profile_images/1016600645292511232/eYIkIK2s.jpg","View")</f>
        <v>View</v>
      </c>
    </row>
    <row r="261" spans="1:21" ht="40.799999999999997">
      <c r="A261" s="6">
        <v>43441.545717592591</v>
      </c>
      <c r="B261" s="7" t="str">
        <f>HYPERLINK("https://twitter.com/AntonioSaldanaM","@AntonioSaldanaM")</f>
        <v>@AntonioSaldanaM</v>
      </c>
      <c r="C261" s="8" t="s">
        <v>1076</v>
      </c>
      <c r="D261" s="9" t="s">
        <v>1077</v>
      </c>
      <c r="E261" s="10" t="str">
        <f>HYPERLINK("https://twitter.com/AntonioSaldanaM/status/1071012909432606720","1071012909432606720")</f>
        <v>1071012909432606720</v>
      </c>
      <c r="F261" s="12"/>
      <c r="G261" s="11" t="s">
        <v>1078</v>
      </c>
      <c r="H261" s="12"/>
      <c r="I261" s="13">
        <v>5</v>
      </c>
      <c r="J261" s="13">
        <v>7</v>
      </c>
      <c r="K261" s="14" t="str">
        <f>HYPERLINK("http://twitter.com/download/iphone","Twitter for iPhone")</f>
        <v>Twitter for iPhone</v>
      </c>
      <c r="L261" s="13">
        <v>4071</v>
      </c>
      <c r="M261" s="13">
        <v>2464</v>
      </c>
      <c r="N261" s="13">
        <v>60</v>
      </c>
      <c r="O261" s="15"/>
      <c r="P261" s="6">
        <v>40048.588993055557</v>
      </c>
      <c r="Q261" s="16" t="s">
        <v>1079</v>
      </c>
      <c r="R261" s="17" t="s">
        <v>1080</v>
      </c>
      <c r="S261" s="12"/>
      <c r="T261" s="12"/>
      <c r="U261" s="10" t="str">
        <f>HYPERLINK("https://pbs.twimg.com/profile_images/975086547048566786/y1kRdKMb.jpg","View")</f>
        <v>View</v>
      </c>
    </row>
    <row r="262" spans="1:21" ht="40.799999999999997">
      <c r="A262" s="6">
        <v>43441.545381944445</v>
      </c>
      <c r="B262" s="7" t="str">
        <f>HYPERLINK("https://twitter.com/Creuat_Tabarnia","@Creuat_Tabarnia")</f>
        <v>@Creuat_Tabarnia</v>
      </c>
      <c r="C262" s="8" t="s">
        <v>1081</v>
      </c>
      <c r="D262" s="9" t="s">
        <v>1082</v>
      </c>
      <c r="E262" s="10" t="str">
        <f>HYPERLINK("https://twitter.com/Creuat_Tabarnia/status/1071012787097399296","1071012787097399296")</f>
        <v>1071012787097399296</v>
      </c>
      <c r="F262" s="11" t="s">
        <v>1083</v>
      </c>
      <c r="G262" s="12"/>
      <c r="H262" s="12"/>
      <c r="I262" s="13">
        <v>0</v>
      </c>
      <c r="J262" s="13">
        <v>0</v>
      </c>
      <c r="K262" s="14" t="str">
        <f t="shared" ref="K262:K266" si="45">HYPERLINK("http://twitter.com","Twitter Web Client")</f>
        <v>Twitter Web Client</v>
      </c>
      <c r="L262" s="13">
        <v>313</v>
      </c>
      <c r="M262" s="13">
        <v>396</v>
      </c>
      <c r="N262" s="13">
        <v>9</v>
      </c>
      <c r="O262" s="15"/>
      <c r="P262" s="6">
        <v>40869.759699074071</v>
      </c>
      <c r="Q262" s="16" t="s">
        <v>1084</v>
      </c>
      <c r="R262" s="17" t="s">
        <v>1085</v>
      </c>
      <c r="S262" s="12"/>
      <c r="T262" s="12"/>
      <c r="U262" s="10" t="str">
        <f>HYPERLINK("https://pbs.twimg.com/profile_images/1007293932173185026/vcmXrOiH.jpg","View")</f>
        <v>View</v>
      </c>
    </row>
    <row r="263" spans="1:21" ht="40.799999999999997">
      <c r="A263" s="6">
        <v>43441.53230324074</v>
      </c>
      <c r="B263" s="7" t="str">
        <f>HYPERLINK("https://twitter.com/drafabianalemos","@drafabianalemos")</f>
        <v>@drafabianalemos</v>
      </c>
      <c r="C263" s="8" t="s">
        <v>1086</v>
      </c>
      <c r="D263" s="9" t="s">
        <v>1087</v>
      </c>
      <c r="E263" s="10" t="str">
        <f>HYPERLINK("https://twitter.com/drafabianalemos/status/1071008049148633088","1071008049148633088")</f>
        <v>1071008049148633088</v>
      </c>
      <c r="F263" s="11" t="s">
        <v>1088</v>
      </c>
      <c r="G263" s="12"/>
      <c r="H263" s="12"/>
      <c r="I263" s="13">
        <v>0</v>
      </c>
      <c r="J263" s="13">
        <v>0</v>
      </c>
      <c r="K263" s="14" t="str">
        <f t="shared" si="45"/>
        <v>Twitter Web Client</v>
      </c>
      <c r="L263" s="13">
        <v>678</v>
      </c>
      <c r="M263" s="13">
        <v>587</v>
      </c>
      <c r="N263" s="13">
        <v>7</v>
      </c>
      <c r="O263" s="15"/>
      <c r="P263" s="6">
        <v>40312.849525462967</v>
      </c>
      <c r="Q263" s="16" t="s">
        <v>1089</v>
      </c>
      <c r="R263" s="17" t="s">
        <v>1090</v>
      </c>
      <c r="S263" s="11" t="s">
        <v>1091</v>
      </c>
      <c r="T263" s="12"/>
      <c r="U263" s="10" t="str">
        <f>HYPERLINK("https://pbs.twimg.com/profile_images/1039195573650374657/5IIqpYls.jpg","View")</f>
        <v>View</v>
      </c>
    </row>
    <row r="264" spans="1:21" ht="51">
      <c r="A264" s="6">
        <v>43441.529641203699</v>
      </c>
      <c r="B264" s="7" t="str">
        <f>HYPERLINK("https://twitter.com/Karma13355592","@Karma13355592")</f>
        <v>@Karma13355592</v>
      </c>
      <c r="C264" s="8" t="s">
        <v>1092</v>
      </c>
      <c r="D264" s="9" t="s">
        <v>1093</v>
      </c>
      <c r="E264" s="10" t="str">
        <f>HYPERLINK("https://twitter.com/Karma13355592/status/1071007081057132545","1071007081057132545")</f>
        <v>1071007081057132545</v>
      </c>
      <c r="F264" s="11" t="s">
        <v>127</v>
      </c>
      <c r="G264" s="12"/>
      <c r="H264" s="12"/>
      <c r="I264" s="13">
        <v>74</v>
      </c>
      <c r="J264" s="13">
        <v>48</v>
      </c>
      <c r="K264" s="14" t="str">
        <f t="shared" si="45"/>
        <v>Twitter Web Client</v>
      </c>
      <c r="L264" s="13">
        <v>1197</v>
      </c>
      <c r="M264" s="13">
        <v>1862</v>
      </c>
      <c r="N264" s="13">
        <v>1</v>
      </c>
      <c r="O264" s="15"/>
      <c r="P264" s="6">
        <v>42842.946226851855</v>
      </c>
      <c r="Q264" s="16" t="s">
        <v>1094</v>
      </c>
      <c r="R264" s="17" t="s">
        <v>1095</v>
      </c>
      <c r="S264" s="12"/>
      <c r="T264" s="12"/>
      <c r="U264" s="10" t="str">
        <f>HYPERLINK("https://pbs.twimg.com/profile_images/1068450965605572608/i5c06dgK.jpg","View")</f>
        <v>View</v>
      </c>
    </row>
    <row r="265" spans="1:21" ht="30.6">
      <c r="A265" s="6">
        <v>43441.52925925926</v>
      </c>
      <c r="B265" s="7" t="str">
        <f>HYPERLINK("https://twitter.com/KalkuMadrid","@KalkuMadrid")</f>
        <v>@KalkuMadrid</v>
      </c>
      <c r="C265" s="8" t="s">
        <v>1096</v>
      </c>
      <c r="D265" s="9" t="s">
        <v>1097</v>
      </c>
      <c r="E265" s="10" t="str">
        <f>HYPERLINK("https://twitter.com/KalkuMadrid/status/1071006945228849152","1071006945228849152")</f>
        <v>1071006945228849152</v>
      </c>
      <c r="F265" s="12"/>
      <c r="G265" s="12"/>
      <c r="H265" s="12"/>
      <c r="I265" s="13">
        <v>0</v>
      </c>
      <c r="J265" s="13">
        <v>0</v>
      </c>
      <c r="K265" s="14" t="str">
        <f t="shared" si="45"/>
        <v>Twitter Web Client</v>
      </c>
      <c r="L265" s="13">
        <v>2799</v>
      </c>
      <c r="M265" s="13">
        <v>2483</v>
      </c>
      <c r="N265" s="13">
        <v>31</v>
      </c>
      <c r="O265" s="15"/>
      <c r="P265" s="6">
        <v>41111.52553240741</v>
      </c>
      <c r="Q265" s="16" t="s">
        <v>191</v>
      </c>
      <c r="R265" s="17" t="s">
        <v>1098</v>
      </c>
      <c r="S265" s="12"/>
      <c r="T265" s="12"/>
      <c r="U265" s="10" t="str">
        <f>HYPERLINK("https://pbs.twimg.com/profile_images/913534311839780865/cVgFHHUb.jpg","View")</f>
        <v>View</v>
      </c>
    </row>
    <row r="266" spans="1:21" ht="40.799999999999997">
      <c r="A266" s="6">
        <v>43441.52747685185</v>
      </c>
      <c r="B266" s="7" t="str">
        <f>HYPERLINK("https://twitter.com/fermont1965","@fermont1965")</f>
        <v>@fermont1965</v>
      </c>
      <c r="C266" s="8" t="s">
        <v>1099</v>
      </c>
      <c r="D266" s="9" t="s">
        <v>1100</v>
      </c>
      <c r="E266" s="10" t="str">
        <f>HYPERLINK("https://twitter.com/fermont1965/status/1071006296449667072","1071006296449667072")</f>
        <v>1071006296449667072</v>
      </c>
      <c r="F266" s="12"/>
      <c r="G266" s="12"/>
      <c r="H266" s="12"/>
      <c r="I266" s="13">
        <v>5</v>
      </c>
      <c r="J266" s="13">
        <v>4</v>
      </c>
      <c r="K266" s="14" t="str">
        <f t="shared" si="45"/>
        <v>Twitter Web Client</v>
      </c>
      <c r="L266" s="13">
        <v>35257</v>
      </c>
      <c r="M266" s="13">
        <v>9078</v>
      </c>
      <c r="N266" s="13">
        <v>306</v>
      </c>
      <c r="O266" s="15"/>
      <c r="P266" s="6">
        <v>40608.760115740741</v>
      </c>
      <c r="Q266" s="16" t="s">
        <v>1101</v>
      </c>
      <c r="R266" s="17" t="s">
        <v>1102</v>
      </c>
      <c r="S266" s="12"/>
      <c r="T266" s="12"/>
      <c r="U266" s="10" t="str">
        <f>HYPERLINK("https://pbs.twimg.com/profile_images/617818600326438912/_o-dirdy.jpg","View")</f>
        <v>View</v>
      </c>
    </row>
    <row r="267" spans="1:21" ht="40.799999999999997">
      <c r="A267" s="6">
        <v>43441.527326388888</v>
      </c>
      <c r="B267" s="7" t="str">
        <f>HYPERLINK("https://twitter.com/HoyPorHoy","@HoyPorHoy")</f>
        <v>@HoyPorHoy</v>
      </c>
      <c r="C267" s="8" t="s">
        <v>1103</v>
      </c>
      <c r="D267" s="9" t="s">
        <v>1104</v>
      </c>
      <c r="E267" s="10" t="str">
        <f>HYPERLINK("https://twitter.com/HoyPorHoy/status/1071006242120888326","1071006242120888326")</f>
        <v>1071006242120888326</v>
      </c>
      <c r="F267" s="12"/>
      <c r="G267" s="12"/>
      <c r="H267" s="12"/>
      <c r="I267" s="13">
        <v>17</v>
      </c>
      <c r="J267" s="13">
        <v>41</v>
      </c>
      <c r="K267" s="14" t="str">
        <f>HYPERLINK("http://twitter.com/download/iphone","Twitter for iPhone")</f>
        <v>Twitter for iPhone</v>
      </c>
      <c r="L267" s="13">
        <v>151841</v>
      </c>
      <c r="M267" s="13">
        <v>549</v>
      </c>
      <c r="N267" s="13">
        <v>1957</v>
      </c>
      <c r="O267" s="19" t="s">
        <v>44</v>
      </c>
      <c r="P267" s="6">
        <v>40524.8125</v>
      </c>
      <c r="Q267" s="16" t="s">
        <v>1105</v>
      </c>
      <c r="R267" s="17" t="s">
        <v>1106</v>
      </c>
      <c r="S267" s="11" t="s">
        <v>1107</v>
      </c>
      <c r="T267" s="12"/>
      <c r="U267" s="10" t="str">
        <f>HYPERLINK("https://pbs.twimg.com/profile_images/1048055720007163905/tEd_7iXy.jpg","View")</f>
        <v>View</v>
      </c>
    </row>
    <row r="268" spans="1:21" ht="61.2">
      <c r="A268" s="6">
        <v>43441.526261574079</v>
      </c>
      <c r="B268" s="7" t="str">
        <f>HYPERLINK("https://twitter.com/nitronux","@nitronux")</f>
        <v>@nitronux</v>
      </c>
      <c r="C268" s="8" t="s">
        <v>1108</v>
      </c>
      <c r="D268" s="9" t="s">
        <v>1109</v>
      </c>
      <c r="E268" s="10" t="str">
        <f>HYPERLINK("https://twitter.com/nitronux/status/1071005858094563329","1071005858094563329")</f>
        <v>1071005858094563329</v>
      </c>
      <c r="F268" s="11" t="s">
        <v>878</v>
      </c>
      <c r="G268" s="11" t="s">
        <v>879</v>
      </c>
      <c r="H268" s="12"/>
      <c r="I268" s="13">
        <v>1</v>
      </c>
      <c r="J268" s="13">
        <v>3</v>
      </c>
      <c r="K268" s="14" t="str">
        <f t="shared" ref="K268:K271" si="46">HYPERLINK("http://twitter.com/download/android","Twitter for Android")</f>
        <v>Twitter for Android</v>
      </c>
      <c r="L268" s="13">
        <v>992</v>
      </c>
      <c r="M268" s="13">
        <v>643</v>
      </c>
      <c r="N268" s="13">
        <v>21</v>
      </c>
      <c r="O268" s="15"/>
      <c r="P268" s="6">
        <v>40682.027303240742</v>
      </c>
      <c r="Q268" s="16" t="s">
        <v>1110</v>
      </c>
      <c r="R268" s="17" t="s">
        <v>1111</v>
      </c>
      <c r="S268" s="11" t="s">
        <v>1112</v>
      </c>
      <c r="T268" s="12"/>
      <c r="U268" s="10" t="str">
        <f>HYPERLINK("https://pbs.twimg.com/profile_images/1060576140371353600/wv2GV1ji.jpg","View")</f>
        <v>View</v>
      </c>
    </row>
    <row r="269" spans="1:21" ht="20.399999999999999">
      <c r="A269" s="6">
        <v>43441.523483796293</v>
      </c>
      <c r="B269" s="7" t="str">
        <f>HYPERLINK("https://twitter.com/SSarelvis67","@SSarelvis67")</f>
        <v>@SSarelvis67</v>
      </c>
      <c r="C269" s="8" t="s">
        <v>1113</v>
      </c>
      <c r="D269" s="9" t="s">
        <v>455</v>
      </c>
      <c r="E269" s="10" t="str">
        <f>HYPERLINK("https://twitter.com/SSarelvis67/status/1071004852359233536","1071004852359233536")</f>
        <v>1071004852359233536</v>
      </c>
      <c r="F269" s="11" t="s">
        <v>127</v>
      </c>
      <c r="G269" s="12"/>
      <c r="H269" s="12"/>
      <c r="I269" s="13">
        <v>69</v>
      </c>
      <c r="J269" s="13">
        <v>47</v>
      </c>
      <c r="K269" s="14" t="str">
        <f t="shared" si="46"/>
        <v>Twitter for Android</v>
      </c>
      <c r="L269" s="13">
        <v>1945</v>
      </c>
      <c r="M269" s="13">
        <v>2803</v>
      </c>
      <c r="N269" s="13">
        <v>13</v>
      </c>
      <c r="O269" s="15"/>
      <c r="P269" s="6">
        <v>41358.931979166664</v>
      </c>
      <c r="Q269" s="12"/>
      <c r="R269" s="20"/>
      <c r="S269" s="12"/>
      <c r="T269" s="12"/>
      <c r="U269" s="10" t="str">
        <f>HYPERLINK("https://pbs.twimg.com/profile_images/1047798065602723840/HgQ02HsX.jpg","View")</f>
        <v>View</v>
      </c>
    </row>
    <row r="270" spans="1:21" ht="30.6">
      <c r="A270" s="6">
        <v>43441.523414351846</v>
      </c>
      <c r="B270" s="7" t="str">
        <f>HYPERLINK("https://twitter.com/Chusina5","@Chusina5")</f>
        <v>@Chusina5</v>
      </c>
      <c r="C270" s="8" t="s">
        <v>1114</v>
      </c>
      <c r="D270" s="9" t="s">
        <v>273</v>
      </c>
      <c r="E270" s="10" t="str">
        <f>HYPERLINK("https://twitter.com/Chusina5/status/1071004826362888192","1071004826362888192")</f>
        <v>1071004826362888192</v>
      </c>
      <c r="F270" s="11" t="s">
        <v>144</v>
      </c>
      <c r="G270" s="12"/>
      <c r="H270" s="12"/>
      <c r="I270" s="13">
        <v>0</v>
      </c>
      <c r="J270" s="13">
        <v>0</v>
      </c>
      <c r="K270" s="14" t="str">
        <f t="shared" si="46"/>
        <v>Twitter for Android</v>
      </c>
      <c r="L270" s="13">
        <v>11908</v>
      </c>
      <c r="M270" s="13">
        <v>11183</v>
      </c>
      <c r="N270" s="13">
        <v>131</v>
      </c>
      <c r="O270" s="15"/>
      <c r="P270" s="6">
        <v>41013.619976851856</v>
      </c>
      <c r="Q270" s="16" t="s">
        <v>1115</v>
      </c>
      <c r="R270" s="17" t="s">
        <v>1116</v>
      </c>
      <c r="S270" s="12"/>
      <c r="T270" s="12"/>
      <c r="U270" s="10" t="str">
        <f>HYPERLINK("https://pbs.twimg.com/profile_images/1068910638544621568/AYrsYqT7.jpg","View")</f>
        <v>View</v>
      </c>
    </row>
    <row r="271" spans="1:21" ht="30.6">
      <c r="A271" s="6">
        <v>43441.515949074077</v>
      </c>
      <c r="B271" s="7" t="str">
        <f>HYPERLINK("https://twitter.com/NicolsBote","@NicolsBote")</f>
        <v>@NicolsBote</v>
      </c>
      <c r="C271" s="8" t="s">
        <v>1070</v>
      </c>
      <c r="D271" s="9" t="s">
        <v>1117</v>
      </c>
      <c r="E271" s="10" t="str">
        <f>HYPERLINK("https://twitter.com/NicolsBote/status/1071002119531044865","1071002119531044865")</f>
        <v>1071002119531044865</v>
      </c>
      <c r="F271" s="12"/>
      <c r="G271" s="12"/>
      <c r="H271" s="12"/>
      <c r="I271" s="13">
        <v>1</v>
      </c>
      <c r="J271" s="13">
        <v>1</v>
      </c>
      <c r="K271" s="14" t="str">
        <f t="shared" si="46"/>
        <v>Twitter for Android</v>
      </c>
      <c r="L271" s="13">
        <v>15443</v>
      </c>
      <c r="M271" s="13">
        <v>14827</v>
      </c>
      <c r="N271" s="13">
        <v>46</v>
      </c>
      <c r="O271" s="15"/>
      <c r="P271" s="6">
        <v>40823.843865740739</v>
      </c>
      <c r="Q271" s="16" t="s">
        <v>1071</v>
      </c>
      <c r="R271" s="17" t="s">
        <v>1072</v>
      </c>
      <c r="S271" s="12"/>
      <c r="T271" s="12"/>
      <c r="U271" s="10" t="str">
        <f>HYPERLINK("https://pbs.twimg.com/profile_images/922070156179918848/VyGWAmAm.jpg","View")</f>
        <v>View</v>
      </c>
    </row>
    <row r="272" spans="1:21" ht="30.6">
      <c r="A272" s="6">
        <v>43441.514155092591</v>
      </c>
      <c r="B272" s="7" t="str">
        <f>HYPERLINK("https://twitter.com/ElHuffPost","@ElHuffPost")</f>
        <v>@ElHuffPost</v>
      </c>
      <c r="C272" s="8" t="s">
        <v>106</v>
      </c>
      <c r="D272" s="9" t="s">
        <v>1118</v>
      </c>
      <c r="E272" s="10" t="str">
        <f>HYPERLINK("https://twitter.com/ElHuffPost/status/1071001472467382272","1071001472467382272")</f>
        <v>1071001472467382272</v>
      </c>
      <c r="F272" s="11" t="s">
        <v>1119</v>
      </c>
      <c r="G272" s="12"/>
      <c r="H272" s="12"/>
      <c r="I272" s="13">
        <v>0</v>
      </c>
      <c r="J272" s="13">
        <v>1</v>
      </c>
      <c r="K272" s="14" t="str">
        <f>HYPERLINK("http://twitter.com","Twitter Web Client")</f>
        <v>Twitter Web Client</v>
      </c>
      <c r="L272" s="13">
        <v>431182</v>
      </c>
      <c r="M272" s="13">
        <v>1551</v>
      </c>
      <c r="N272" s="13">
        <v>8193</v>
      </c>
      <c r="O272" s="19" t="s">
        <v>44</v>
      </c>
      <c r="P272" s="6">
        <v>40785.027118055557</v>
      </c>
      <c r="Q272" s="16" t="s">
        <v>109</v>
      </c>
      <c r="R272" s="17" t="s">
        <v>110</v>
      </c>
      <c r="S272" s="11" t="s">
        <v>111</v>
      </c>
      <c r="T272" s="12"/>
      <c r="U272" s="10" t="str">
        <f>HYPERLINK("https://pbs.twimg.com/profile_images/921140803422089217/ETOEUOAx.jpg","View")</f>
        <v>View</v>
      </c>
    </row>
    <row r="273" spans="1:21" ht="30.6">
      <c r="A273" s="6">
        <v>43441.489583333328</v>
      </c>
      <c r="B273" s="7" t="str">
        <f>HYPERLINK("https://twitter.com/redaccionmedica","@redaccionmedica")</f>
        <v>@redaccionmedica</v>
      </c>
      <c r="C273" s="8" t="s">
        <v>1120</v>
      </c>
      <c r="D273" s="9" t="s">
        <v>1121</v>
      </c>
      <c r="E273" s="10" t="str">
        <f>HYPERLINK("https://twitter.com/redaccionmedica/status/1070992565590220801","1070992565590220801")</f>
        <v>1070992565590220801</v>
      </c>
      <c r="F273" s="11" t="s">
        <v>1122</v>
      </c>
      <c r="G273" s="11" t="s">
        <v>1123</v>
      </c>
      <c r="H273" s="12"/>
      <c r="I273" s="13">
        <v>0</v>
      </c>
      <c r="J273" s="13">
        <v>1</v>
      </c>
      <c r="K273" s="14" t="str">
        <f>HYPERLINK("https://about.twitter.com/products/tweetdeck","TweetDeck")</f>
        <v>TweetDeck</v>
      </c>
      <c r="L273" s="13">
        <v>63707</v>
      </c>
      <c r="M273" s="13">
        <v>7650</v>
      </c>
      <c r="N273" s="13">
        <v>1632</v>
      </c>
      <c r="O273" s="15"/>
      <c r="P273" s="6">
        <v>40533.359513888892</v>
      </c>
      <c r="Q273" s="16" t="s">
        <v>48</v>
      </c>
      <c r="R273" s="17" t="s">
        <v>1124</v>
      </c>
      <c r="S273" s="11" t="s">
        <v>1125</v>
      </c>
      <c r="T273" s="12"/>
      <c r="U273" s="10" t="str">
        <f>HYPERLINK("https://pbs.twimg.com/profile_images/1067330511780175873/WeJyUCVf.jpg","View")</f>
        <v>View</v>
      </c>
    </row>
    <row r="274" spans="1:21" ht="40.799999999999997">
      <c r="A274" s="6">
        <v>43441.486215277779</v>
      </c>
      <c r="B274" s="7" t="str">
        <f>HYPERLINK("https://twitter.com/RubenMorenoPal","@RubenMorenoPal")</f>
        <v>@RubenMorenoPal</v>
      </c>
      <c r="C274" s="8" t="s">
        <v>1126</v>
      </c>
      <c r="D274" s="9" t="s">
        <v>1127</v>
      </c>
      <c r="E274" s="10" t="str">
        <f>HYPERLINK("https://twitter.com/RubenMorenoPal/status/1070991346608103424","1070991346608103424")</f>
        <v>1070991346608103424</v>
      </c>
      <c r="F274" s="11" t="s">
        <v>1129</v>
      </c>
      <c r="G274" s="12"/>
      <c r="H274" s="12"/>
      <c r="I274" s="13">
        <v>2</v>
      </c>
      <c r="J274" s="13">
        <v>3</v>
      </c>
      <c r="K274" s="14" t="str">
        <f>HYPERLINK("http://twitter.com/download/iphone","Twitter for iPhone")</f>
        <v>Twitter for iPhone</v>
      </c>
      <c r="L274" s="13">
        <v>147</v>
      </c>
      <c r="M274" s="13">
        <v>336</v>
      </c>
      <c r="N274" s="13">
        <v>1</v>
      </c>
      <c r="O274" s="15"/>
      <c r="P274" s="6">
        <v>43411.94131944445</v>
      </c>
      <c r="Q274" s="16" t="s">
        <v>1130</v>
      </c>
      <c r="R274" s="17" t="s">
        <v>1131</v>
      </c>
      <c r="S274" s="11" t="s">
        <v>1132</v>
      </c>
      <c r="T274" s="12"/>
      <c r="U274" s="10" t="str">
        <f>HYPERLINK("https://pbs.twimg.com/profile_images/1060286128492822529/3RWDaKzc.jpg","View")</f>
        <v>View</v>
      </c>
    </row>
    <row r="275" spans="1:21" ht="40.799999999999997">
      <c r="A275" s="6">
        <v>43441.478055555555</v>
      </c>
      <c r="B275" s="7" t="str">
        <f>HYPERLINK("https://twitter.com/ikaitor","@ikaitor")</f>
        <v>@ikaitor</v>
      </c>
      <c r="C275" s="8" t="s">
        <v>1134</v>
      </c>
      <c r="D275" s="9" t="s">
        <v>1135</v>
      </c>
      <c r="E275" s="10" t="str">
        <f>HYPERLINK("https://twitter.com/ikaitor/status/1070988389674041344","1070988389674041344")</f>
        <v>1070988389674041344</v>
      </c>
      <c r="F275" s="11" t="s">
        <v>104</v>
      </c>
      <c r="G275" s="12"/>
      <c r="H275" s="12"/>
      <c r="I275" s="13">
        <v>19</v>
      </c>
      <c r="J275" s="13">
        <v>9</v>
      </c>
      <c r="K275" s="14" t="str">
        <f t="shared" ref="K275:K277" si="47">HYPERLINK("http://twitter.com","Twitter Web Client")</f>
        <v>Twitter Web Client</v>
      </c>
      <c r="L275" s="13">
        <v>17212</v>
      </c>
      <c r="M275" s="13">
        <v>1142</v>
      </c>
      <c r="N275" s="13">
        <v>624</v>
      </c>
      <c r="O275" s="15"/>
      <c r="P275" s="6">
        <v>39813.739421296297</v>
      </c>
      <c r="Q275" s="16" t="s">
        <v>191</v>
      </c>
      <c r="R275" s="17" t="s">
        <v>1136</v>
      </c>
      <c r="S275" s="11" t="s">
        <v>1137</v>
      </c>
      <c r="T275" s="12"/>
      <c r="U275" s="10" t="str">
        <f>HYPERLINK("https://pbs.twimg.com/profile_images/923654475360997377/_9yNRShJ.jpg","View")</f>
        <v>View</v>
      </c>
    </row>
    <row r="276" spans="1:21" ht="40.799999999999997">
      <c r="A276" s="6">
        <v>43441.4769212963</v>
      </c>
      <c r="B276" s="7" t="str">
        <f>HYPERLINK("https://twitter.com/proyectocosme","@proyectocosme")</f>
        <v>@proyectocosme</v>
      </c>
      <c r="C276" s="8" t="s">
        <v>1138</v>
      </c>
      <c r="D276" s="9" t="s">
        <v>1139</v>
      </c>
      <c r="E276" s="10" t="str">
        <f>HYPERLINK("https://twitter.com/proyectocosme/status/1070987976254070784","1070987976254070784")</f>
        <v>1070987976254070784</v>
      </c>
      <c r="F276" s="11" t="s">
        <v>1140</v>
      </c>
      <c r="G276" s="12"/>
      <c r="H276" s="12"/>
      <c r="I276" s="13">
        <v>1</v>
      </c>
      <c r="J276" s="13">
        <v>0</v>
      </c>
      <c r="K276" s="14" t="str">
        <f t="shared" si="47"/>
        <v>Twitter Web Client</v>
      </c>
      <c r="L276" s="13">
        <v>2049</v>
      </c>
      <c r="M276" s="13">
        <v>1952</v>
      </c>
      <c r="N276" s="13">
        <v>23</v>
      </c>
      <c r="O276" s="15"/>
      <c r="P276" s="6">
        <v>41270.50644675926</v>
      </c>
      <c r="Q276" s="16" t="s">
        <v>48</v>
      </c>
      <c r="R276" s="17" t="s">
        <v>1141</v>
      </c>
      <c r="S276" s="11" t="s">
        <v>1142</v>
      </c>
      <c r="T276" s="12"/>
      <c r="U276" s="10" t="str">
        <f>HYPERLINK("https://pbs.twimg.com/profile_images/749922193254080513/8fRo8fIL.jpg","View")</f>
        <v>View</v>
      </c>
    </row>
    <row r="277" spans="1:21" ht="51">
      <c r="A277" s="6">
        <v>43441.473414351851</v>
      </c>
      <c r="B277" s="7" t="str">
        <f>HYPERLINK("https://twitter.com/naroh","@naroh")</f>
        <v>@naroh</v>
      </c>
      <c r="C277" s="8" t="s">
        <v>1143</v>
      </c>
      <c r="D277" s="9" t="s">
        <v>1144</v>
      </c>
      <c r="E277" s="10" t="str">
        <f>HYPERLINK("https://twitter.com/naroh/status/1070986706973798400","1070986706973798400")</f>
        <v>1070986706973798400</v>
      </c>
      <c r="F277" s="11" t="s">
        <v>1066</v>
      </c>
      <c r="G277" s="12"/>
      <c r="H277" s="12"/>
      <c r="I277" s="13">
        <v>12</v>
      </c>
      <c r="J277" s="13">
        <v>9</v>
      </c>
      <c r="K277" s="14" t="str">
        <f t="shared" si="47"/>
        <v>Twitter Web Client</v>
      </c>
      <c r="L277" s="13">
        <v>8584</v>
      </c>
      <c r="M277" s="13">
        <v>304</v>
      </c>
      <c r="N277" s="13">
        <v>283</v>
      </c>
      <c r="O277" s="15"/>
      <c r="P277" s="6">
        <v>39308.196875000001</v>
      </c>
      <c r="Q277" s="16" t="s">
        <v>30</v>
      </c>
      <c r="R277" s="17" t="s">
        <v>1145</v>
      </c>
      <c r="S277" s="11" t="s">
        <v>1146</v>
      </c>
      <c r="T277" s="12"/>
      <c r="U277" s="10" t="str">
        <f>HYPERLINK("https://pbs.twimg.com/profile_images/1050337409295093760/b7x-tLpY.jpg","View")</f>
        <v>View</v>
      </c>
    </row>
    <row r="278" spans="1:21" ht="20.399999999999999">
      <c r="A278" s="6">
        <v>43441.472893518519</v>
      </c>
      <c r="B278" s="7" t="str">
        <f>HYPERLINK("https://twitter.com/Angel_negro007","@Angel_negro007")</f>
        <v>@Angel_negro007</v>
      </c>
      <c r="C278" s="8" t="s">
        <v>1147</v>
      </c>
      <c r="D278" s="9" t="s">
        <v>1148</v>
      </c>
      <c r="E278" s="10" t="str">
        <f>HYPERLINK("https://twitter.com/Angel_negro007/status/1070986519362633728","1070986519362633728")</f>
        <v>1070986519362633728</v>
      </c>
      <c r="F278" s="12"/>
      <c r="G278" s="12"/>
      <c r="H278" s="12"/>
      <c r="I278" s="13">
        <v>0</v>
      </c>
      <c r="J278" s="13">
        <v>0</v>
      </c>
      <c r="K278" s="14" t="str">
        <f>HYPERLINK("http://twitter.com/download/iphone","Twitter for iPhone")</f>
        <v>Twitter for iPhone</v>
      </c>
      <c r="L278" s="13">
        <v>810</v>
      </c>
      <c r="M278" s="13">
        <v>715</v>
      </c>
      <c r="N278" s="13">
        <v>11</v>
      </c>
      <c r="O278" s="15"/>
      <c r="P278" s="6">
        <v>41224.863668981481</v>
      </c>
      <c r="Q278" s="12"/>
      <c r="R278" s="17" t="s">
        <v>1149</v>
      </c>
      <c r="S278" s="12"/>
      <c r="T278" s="12"/>
      <c r="U278" s="10" t="str">
        <f>HYPERLINK("https://pbs.twimg.com/profile_images/1018240048603463680/ggZhSi2w.jpg","View")</f>
        <v>View</v>
      </c>
    </row>
    <row r="279" spans="1:21" ht="20.399999999999999">
      <c r="A279" s="6">
        <v>43441.471828703703</v>
      </c>
      <c r="B279" s="7" t="str">
        <f>HYPERLINK("https://twitter.com/RadioUnionTfe","@RadioUnionTfe")</f>
        <v>@RadioUnionTfe</v>
      </c>
      <c r="C279" s="8" t="s">
        <v>1150</v>
      </c>
      <c r="D279" s="9" t="s">
        <v>1151</v>
      </c>
      <c r="E279" s="10" t="str">
        <f>HYPERLINK("https://twitter.com/RadioUnionTfe/status/1070986130768711681","1070986130768711681")</f>
        <v>1070986130768711681</v>
      </c>
      <c r="F279" s="11" t="s">
        <v>144</v>
      </c>
      <c r="G279" s="12"/>
      <c r="H279" s="12"/>
      <c r="I279" s="13">
        <v>0</v>
      </c>
      <c r="J279" s="13">
        <v>0</v>
      </c>
      <c r="K279" s="14" t="str">
        <f>HYPERLINK("http://twitter.com/download/android","Twitter for Android")</f>
        <v>Twitter for Android</v>
      </c>
      <c r="L279" s="13">
        <v>170</v>
      </c>
      <c r="M279" s="13">
        <v>63</v>
      </c>
      <c r="N279" s="13">
        <v>1</v>
      </c>
      <c r="O279" s="15"/>
      <c r="P279" s="6">
        <v>40749.728564814817</v>
      </c>
      <c r="Q279" s="12"/>
      <c r="R279" s="20"/>
      <c r="S279" s="12"/>
      <c r="T279" s="12"/>
      <c r="U279" s="10" t="str">
        <f>HYPERLINK("https://pbs.twimg.com/profile_images/912725003900211200/tvZWR99g.jpg","View")</f>
        <v>View</v>
      </c>
    </row>
    <row r="280" spans="1:21" ht="51">
      <c r="A280" s="6">
        <v>43441.471701388888</v>
      </c>
      <c r="B280" s="7" t="str">
        <f>HYPERLINK("https://twitter.com/CatedraticoUGR","@CatedraticoUGR")</f>
        <v>@CatedraticoUGR</v>
      </c>
      <c r="C280" s="8" t="s">
        <v>1152</v>
      </c>
      <c r="D280" s="9" t="s">
        <v>1153</v>
      </c>
      <c r="E280" s="10" t="str">
        <f>HYPERLINK("https://twitter.com/CatedraticoUGR/status/1070986087957520385","1070986087957520385")</f>
        <v>1070986087957520385</v>
      </c>
      <c r="F280" s="12"/>
      <c r="G280" s="12"/>
      <c r="H280" s="12"/>
      <c r="I280" s="13">
        <v>4</v>
      </c>
      <c r="J280" s="13">
        <v>4</v>
      </c>
      <c r="K280" s="14" t="str">
        <f>HYPERLINK("http://twitter.com","Twitter Web Client")</f>
        <v>Twitter Web Client</v>
      </c>
      <c r="L280" s="13">
        <v>53</v>
      </c>
      <c r="M280" s="13">
        <v>24</v>
      </c>
      <c r="N280" s="13">
        <v>0</v>
      </c>
      <c r="O280" s="15"/>
      <c r="P280" s="6">
        <v>41178.735069444447</v>
      </c>
      <c r="Q280" s="12"/>
      <c r="R280" s="20"/>
      <c r="S280" s="12"/>
      <c r="T280" s="12"/>
      <c r="U280" s="10" t="str">
        <f>HYPERLINK("https://pbs.twimg.com/profile_images/2652210949/239e2f669c9ead1f04dc7d8cbfa79548.jpeg","View")</f>
        <v>View</v>
      </c>
    </row>
    <row r="281" spans="1:21" ht="30.6">
      <c r="A281" s="6">
        <v>43441.470358796301</v>
      </c>
      <c r="B281" s="7" t="str">
        <f>HYPERLINK("https://twitter.com/Pocopel0","@Pocopel0")</f>
        <v>@Pocopel0</v>
      </c>
      <c r="C281" s="8" t="s">
        <v>1154</v>
      </c>
      <c r="D281" s="9" t="s">
        <v>1155</v>
      </c>
      <c r="E281" s="10" t="str">
        <f>HYPERLINK("https://twitter.com/Pocopel0/status/1070985597509140480","1070985597509140480")</f>
        <v>1070985597509140480</v>
      </c>
      <c r="F281" s="11" t="s">
        <v>1156</v>
      </c>
      <c r="G281" s="12"/>
      <c r="H281" s="12"/>
      <c r="I281" s="13">
        <v>0</v>
      </c>
      <c r="J281" s="13">
        <v>0</v>
      </c>
      <c r="K281" s="14" t="str">
        <f>HYPERLINK("http://www.facebook.com/twitter","Facebook")</f>
        <v>Facebook</v>
      </c>
      <c r="L281" s="13">
        <v>837</v>
      </c>
      <c r="M281" s="13">
        <v>1130</v>
      </c>
      <c r="N281" s="13">
        <v>13</v>
      </c>
      <c r="O281" s="15"/>
      <c r="P281" s="6">
        <v>40492.77407407407</v>
      </c>
      <c r="Q281" s="16" t="s">
        <v>1157</v>
      </c>
      <c r="R281" s="17" t="s">
        <v>1158</v>
      </c>
      <c r="S281" s="11" t="s">
        <v>1159</v>
      </c>
      <c r="T281" s="12"/>
      <c r="U281" s="10" t="str">
        <f>HYPERLINK("https://pbs.twimg.com/profile_images/677058888164839424/ByboTJcF.jpg","View")</f>
        <v>View</v>
      </c>
    </row>
    <row r="282" spans="1:21" ht="30.6">
      <c r="A282" s="6">
        <v>43441.468634259261</v>
      </c>
      <c r="B282" s="7" t="str">
        <f>HYPERLINK("https://twitter.com/AsunCarretero","@AsunCarretero")</f>
        <v>@AsunCarretero</v>
      </c>
      <c r="C282" s="8" t="s">
        <v>1160</v>
      </c>
      <c r="D282" s="9" t="s">
        <v>1161</v>
      </c>
      <c r="E282" s="10" t="str">
        <f>HYPERLINK("https://twitter.com/AsunCarretero/status/1070984976219418628","1070984976219418628")</f>
        <v>1070984976219418628</v>
      </c>
      <c r="F282" s="11" t="s">
        <v>621</v>
      </c>
      <c r="G282" s="12"/>
      <c r="H282" s="12"/>
      <c r="I282" s="13">
        <v>1</v>
      </c>
      <c r="J282" s="13">
        <v>0</v>
      </c>
      <c r="K282" s="14" t="str">
        <f t="shared" ref="K282:K284" si="48">HYPERLINK("http://twitter.com","Twitter Web Client")</f>
        <v>Twitter Web Client</v>
      </c>
      <c r="L282" s="13">
        <v>15570</v>
      </c>
      <c r="M282" s="13">
        <v>14894</v>
      </c>
      <c r="N282" s="13">
        <v>315</v>
      </c>
      <c r="O282" s="15"/>
      <c r="P282" s="6">
        <v>40418.620243055557</v>
      </c>
      <c r="Q282" s="16" t="s">
        <v>1162</v>
      </c>
      <c r="R282" s="17" t="s">
        <v>1163</v>
      </c>
      <c r="S282" s="12"/>
      <c r="T282" s="12"/>
      <c r="U282" s="10" t="str">
        <f>HYPERLINK("https://pbs.twimg.com/profile_images/1316195555/melillaaaaa.jpg","View")</f>
        <v>View</v>
      </c>
    </row>
    <row r="283" spans="1:21" ht="40.799999999999997">
      <c r="A283" s="6">
        <v>43441.467314814814</v>
      </c>
      <c r="B283" s="7" t="str">
        <f>HYPERLINK("https://twitter.com/adrianlardiez","@adrianlardiez")</f>
        <v>@adrianlardiez</v>
      </c>
      <c r="C283" s="8" t="s">
        <v>1164</v>
      </c>
      <c r="D283" s="9" t="s">
        <v>1165</v>
      </c>
      <c r="E283" s="10" t="str">
        <f>HYPERLINK("https://twitter.com/adrianlardiez/status/1070984494717513728","1070984494717513728")</f>
        <v>1070984494717513728</v>
      </c>
      <c r="F283" s="11" t="s">
        <v>144</v>
      </c>
      <c r="G283" s="12"/>
      <c r="H283" s="12"/>
      <c r="I283" s="13">
        <v>11</v>
      </c>
      <c r="J283" s="13">
        <v>8</v>
      </c>
      <c r="K283" s="14" t="str">
        <f t="shared" si="48"/>
        <v>Twitter Web Client</v>
      </c>
      <c r="L283" s="13">
        <v>935</v>
      </c>
      <c r="M283" s="13">
        <v>669</v>
      </c>
      <c r="N283" s="13">
        <v>14</v>
      </c>
      <c r="O283" s="15"/>
      <c r="P283" s="6">
        <v>41166.487037037034</v>
      </c>
      <c r="Q283" s="16" t="s">
        <v>30</v>
      </c>
      <c r="R283" s="17" t="s">
        <v>1166</v>
      </c>
      <c r="S283" s="11" t="s">
        <v>1167</v>
      </c>
      <c r="T283" s="12"/>
      <c r="U283" s="10" t="str">
        <f>HYPERLINK("https://pbs.twimg.com/profile_images/856600281500483585/1rML7L20.jpg","View")</f>
        <v>View</v>
      </c>
    </row>
    <row r="284" spans="1:21" ht="40.799999999999997">
      <c r="A284" s="6">
        <v>43441.453726851847</v>
      </c>
      <c r="B284" s="7" t="str">
        <f>HYPERLINK("https://twitter.com/crimaroca","@crimaroca")</f>
        <v>@crimaroca</v>
      </c>
      <c r="C284" s="8" t="s">
        <v>1168</v>
      </c>
      <c r="D284" s="9" t="s">
        <v>1169</v>
      </c>
      <c r="E284" s="10" t="str">
        <f>HYPERLINK("https://twitter.com/crimaroca/status/1070979573079252993","1070979573079252993")</f>
        <v>1070979573079252993</v>
      </c>
      <c r="F284" s="16" t="s">
        <v>1170</v>
      </c>
      <c r="G284" s="12"/>
      <c r="H284" s="12"/>
      <c r="I284" s="13">
        <v>1</v>
      </c>
      <c r="J284" s="13">
        <v>0</v>
      </c>
      <c r="K284" s="14" t="str">
        <f t="shared" si="48"/>
        <v>Twitter Web Client</v>
      </c>
      <c r="L284" s="13">
        <v>159</v>
      </c>
      <c r="M284" s="13">
        <v>329</v>
      </c>
      <c r="N284" s="13">
        <v>5</v>
      </c>
      <c r="O284" s="15"/>
      <c r="P284" s="6">
        <v>43297.47384259259</v>
      </c>
      <c r="Q284" s="16" t="s">
        <v>1171</v>
      </c>
      <c r="R284" s="17" t="s">
        <v>1172</v>
      </c>
      <c r="S284" s="11" t="s">
        <v>1173</v>
      </c>
      <c r="T284" s="12"/>
      <c r="U284" s="10" t="str">
        <f>HYPERLINK("https://pbs.twimg.com/profile_images/1054787499933999104/FX_yXmfk.jpg","View")</f>
        <v>View</v>
      </c>
    </row>
    <row r="285" spans="1:21" ht="20.399999999999999">
      <c r="A285" s="6">
        <v>43441.453460648147</v>
      </c>
      <c r="B285" s="7" t="str">
        <f>HYPERLINK("https://twitter.com/manolocoronelca","@manolocoronelca")</f>
        <v>@manolocoronelca</v>
      </c>
      <c r="C285" s="8" t="s">
        <v>1174</v>
      </c>
      <c r="D285" s="9" t="s">
        <v>1175</v>
      </c>
      <c r="E285" s="10" t="str">
        <f>HYPERLINK("https://twitter.com/manolocoronelca/status/1070979474685075457","1070979474685075457")</f>
        <v>1070979474685075457</v>
      </c>
      <c r="F285" s="11" t="s">
        <v>1176</v>
      </c>
      <c r="G285" s="12"/>
      <c r="H285" s="12"/>
      <c r="I285" s="13">
        <v>0</v>
      </c>
      <c r="J285" s="13">
        <v>0</v>
      </c>
      <c r="K285" s="14" t="str">
        <f>HYPERLINK("http://www.facebook.com/twitter","Facebook")</f>
        <v>Facebook</v>
      </c>
      <c r="L285" s="13">
        <v>137</v>
      </c>
      <c r="M285" s="13">
        <v>214</v>
      </c>
      <c r="N285" s="13">
        <v>4</v>
      </c>
      <c r="O285" s="15"/>
      <c r="P285" s="6">
        <v>41108.829259259262</v>
      </c>
      <c r="Q285" s="16" t="s">
        <v>1177</v>
      </c>
      <c r="R285" s="17" t="s">
        <v>1178</v>
      </c>
      <c r="S285" s="11" t="s">
        <v>1179</v>
      </c>
      <c r="T285" s="12"/>
      <c r="U285" s="10" t="str">
        <f>HYPERLINK("https://pbs.twimg.com/profile_images/2479715293/zekric8i7da3sf3hfnx4.jpeg","View")</f>
        <v>View</v>
      </c>
    </row>
    <row r="286" spans="1:21" ht="40.799999999999997">
      <c r="A286" s="6">
        <v>43441.453310185185</v>
      </c>
      <c r="B286" s="7" t="str">
        <f>HYPERLINK("https://twitter.com/Marhuendeer","@Marhuendeer")</f>
        <v>@Marhuendeer</v>
      </c>
      <c r="C286" s="8" t="s">
        <v>1180</v>
      </c>
      <c r="D286" s="9" t="s">
        <v>1181</v>
      </c>
      <c r="E286" s="10" t="str">
        <f>HYPERLINK("https://twitter.com/Marhuendeer/status/1070979421996244992","1070979421996244992")</f>
        <v>1070979421996244992</v>
      </c>
      <c r="F286" s="12"/>
      <c r="G286" s="11" t="s">
        <v>1182</v>
      </c>
      <c r="H286" s="12"/>
      <c r="I286" s="13">
        <v>3</v>
      </c>
      <c r="J286" s="13">
        <v>4</v>
      </c>
      <c r="K286" s="14" t="str">
        <f>HYPERLINK("http://twitter.com/download/android","Twitter for Android")</f>
        <v>Twitter for Android</v>
      </c>
      <c r="L286" s="13">
        <v>3803</v>
      </c>
      <c r="M286" s="13">
        <v>485</v>
      </c>
      <c r="N286" s="13">
        <v>30</v>
      </c>
      <c r="O286" s="15"/>
      <c r="P286" s="6">
        <v>42107.028182870374</v>
      </c>
      <c r="Q286" s="12"/>
      <c r="R286" s="17" t="s">
        <v>1183</v>
      </c>
      <c r="S286" s="12"/>
      <c r="T286" s="12"/>
      <c r="U286" s="10" t="str">
        <f>HYPERLINK("https://pbs.twimg.com/profile_images/587385205230546944/JujAxUZK.jpg","View")</f>
        <v>View</v>
      </c>
    </row>
    <row r="287" spans="1:21" ht="40.799999999999997">
      <c r="A287" s="6">
        <v>43441.452939814815</v>
      </c>
      <c r="B287" s="7" t="str">
        <f>HYPERLINK("https://twitter.com/JordiCervera","@JordiCervera")</f>
        <v>@JordiCervera</v>
      </c>
      <c r="C287" s="8" t="s">
        <v>1184</v>
      </c>
      <c r="D287" s="9" t="s">
        <v>1185</v>
      </c>
      <c r="E287" s="10" t="str">
        <f>HYPERLINK("https://twitter.com/JordiCervera/status/1070979286390267904","1070979286390267904")</f>
        <v>1070979286390267904</v>
      </c>
      <c r="F287" s="16" t="s">
        <v>1186</v>
      </c>
      <c r="G287" s="12"/>
      <c r="H287" s="12"/>
      <c r="I287" s="13">
        <v>4</v>
      </c>
      <c r="J287" s="13">
        <v>5</v>
      </c>
      <c r="K287" s="14" t="str">
        <f>HYPERLINK("http://twitter.com","Twitter Web Client")</f>
        <v>Twitter Web Client</v>
      </c>
      <c r="L287" s="13">
        <v>2514</v>
      </c>
      <c r="M287" s="13">
        <v>2684</v>
      </c>
      <c r="N287" s="13">
        <v>116</v>
      </c>
      <c r="O287" s="15"/>
      <c r="P287" s="6">
        <v>40137.003368055557</v>
      </c>
      <c r="Q287" s="16" t="s">
        <v>524</v>
      </c>
      <c r="R287" s="17" t="s">
        <v>1187</v>
      </c>
      <c r="S287" s="11" t="s">
        <v>1188</v>
      </c>
      <c r="T287" s="12"/>
      <c r="U287" s="10" t="str">
        <f>HYPERLINK("https://pbs.twimg.com/profile_images/541427288/jo_lateral.jpg","View")</f>
        <v>View</v>
      </c>
    </row>
    <row r="288" spans="1:21" ht="30.6">
      <c r="A288" s="6">
        <v>43441.435428240744</v>
      </c>
      <c r="B288" s="7" t="str">
        <f>HYPERLINK("https://twitter.com/ENGINEER_28","@ENGINEER_28")</f>
        <v>@ENGINEER_28</v>
      </c>
      <c r="C288" s="8" t="s">
        <v>1189</v>
      </c>
      <c r="D288" s="9" t="s">
        <v>1190</v>
      </c>
      <c r="E288" s="10" t="str">
        <f>HYPERLINK("https://twitter.com/ENGINEER_28/status/1070972938957017089","1070972938957017089")</f>
        <v>1070972938957017089</v>
      </c>
      <c r="F288" s="12"/>
      <c r="G288" s="12"/>
      <c r="H288" s="12"/>
      <c r="I288" s="13">
        <v>0</v>
      </c>
      <c r="J288" s="13">
        <v>0</v>
      </c>
      <c r="K288" s="14" t="str">
        <f>HYPERLINK("http://twitter.com/#!/download/ipad","Twitter for iPad")</f>
        <v>Twitter for iPad</v>
      </c>
      <c r="L288" s="13">
        <v>5859</v>
      </c>
      <c r="M288" s="13">
        <v>2752</v>
      </c>
      <c r="N288" s="13">
        <v>86</v>
      </c>
      <c r="O288" s="15"/>
      <c r="P288" s="6">
        <v>40271.588877314818</v>
      </c>
      <c r="Q288" s="12"/>
      <c r="R288" s="17" t="s">
        <v>1191</v>
      </c>
      <c r="S288" s="12"/>
      <c r="T288" s="12"/>
      <c r="U288" s="10" t="str">
        <f>HYPERLINK("https://pbs.twimg.com/profile_images/1069171213396787201/PFW_igss.jpg","View")</f>
        <v>View</v>
      </c>
    </row>
    <row r="289" spans="1:21" ht="20.399999999999999">
      <c r="A289" s="6">
        <v>43441.43105324074</v>
      </c>
      <c r="B289" s="7" t="str">
        <f>HYPERLINK("https://twitter.com/UCARSevilla","@UCARSevilla")</f>
        <v>@UCARSevilla</v>
      </c>
      <c r="C289" s="8" t="s">
        <v>1192</v>
      </c>
      <c r="D289" s="9" t="s">
        <v>126</v>
      </c>
      <c r="E289" s="10" t="str">
        <f>HYPERLINK("https://twitter.com/UCARSevilla/status/1070971357247270912","1070971357247270912")</f>
        <v>1070971357247270912</v>
      </c>
      <c r="F289" s="11" t="s">
        <v>127</v>
      </c>
      <c r="G289" s="12"/>
      <c r="H289" s="12"/>
      <c r="I289" s="13">
        <v>1</v>
      </c>
      <c r="J289" s="13">
        <v>0</v>
      </c>
      <c r="K289" s="14" t="str">
        <f>HYPERLINK("http://www.facebook.com/twitter","Facebook")</f>
        <v>Facebook</v>
      </c>
      <c r="L289" s="13">
        <v>937</v>
      </c>
      <c r="M289" s="13">
        <v>1038</v>
      </c>
      <c r="N289" s="13">
        <v>33</v>
      </c>
      <c r="O289" s="15"/>
      <c r="P289" s="6">
        <v>40253.53125</v>
      </c>
      <c r="Q289" s="16" t="s">
        <v>735</v>
      </c>
      <c r="R289" s="17" t="s">
        <v>1193</v>
      </c>
      <c r="S289" s="11" t="s">
        <v>1194</v>
      </c>
      <c r="T289" s="12"/>
      <c r="U289" s="10" t="str">
        <f>HYPERLINK("https://pbs.twimg.com/profile_images/1227030393/27380_100000886205543_2019_q.jpg","View")</f>
        <v>View</v>
      </c>
    </row>
    <row r="290" spans="1:21" ht="40.799999999999997">
      <c r="A290" s="6">
        <v>43441.430567129632</v>
      </c>
      <c r="B290" s="7" t="str">
        <f>HYPERLINK("https://twitter.com/MBCSANJUAN","@MBCSANJUAN")</f>
        <v>@MBCSANJUAN</v>
      </c>
      <c r="C290" s="8" t="s">
        <v>1195</v>
      </c>
      <c r="D290" s="9" t="s">
        <v>1196</v>
      </c>
      <c r="E290" s="10" t="str">
        <f>HYPERLINK("https://twitter.com/MBCSANJUAN/status/1070971181459800064","1070971181459800064")</f>
        <v>1070971181459800064</v>
      </c>
      <c r="F290" s="11" t="s">
        <v>1197</v>
      </c>
      <c r="G290" s="12"/>
      <c r="H290" s="12"/>
      <c r="I290" s="13">
        <v>0</v>
      </c>
      <c r="J290" s="13">
        <v>0</v>
      </c>
      <c r="K290" s="14" t="str">
        <f t="shared" ref="K290:K291" si="49">HYPERLINK("http://twitter.com","Twitter Web Client")</f>
        <v>Twitter Web Client</v>
      </c>
      <c r="L290" s="13">
        <v>5051</v>
      </c>
      <c r="M290" s="13">
        <v>5503</v>
      </c>
      <c r="N290" s="13">
        <v>15</v>
      </c>
      <c r="O290" s="15"/>
      <c r="P290" s="6">
        <v>40621.904479166667</v>
      </c>
      <c r="Q290" s="12"/>
      <c r="R290" s="20"/>
      <c r="S290" s="12"/>
      <c r="T290" s="12"/>
      <c r="U290" s="10" t="str">
        <f>HYPERLINK("https://pbs.twimg.com/profile_images/1617655494/CARACOL_embargado.jpg","View")</f>
        <v>View</v>
      </c>
    </row>
    <row r="291" spans="1:21" ht="20.399999999999999">
      <c r="A291" s="6">
        <v>43441.429780092592</v>
      </c>
      <c r="B291" s="7" t="str">
        <f>HYPERLINK("https://twitter.com/mdetoroh","@mdetoroh")</f>
        <v>@mdetoroh</v>
      </c>
      <c r="C291" s="8" t="s">
        <v>1198</v>
      </c>
      <c r="D291" s="9" t="s">
        <v>576</v>
      </c>
      <c r="E291" s="10" t="str">
        <f>HYPERLINK("https://twitter.com/mdetoroh/status/1070970894707761153","1070970894707761153")</f>
        <v>1070970894707761153</v>
      </c>
      <c r="F291" s="11" t="s">
        <v>577</v>
      </c>
      <c r="G291" s="12"/>
      <c r="H291" s="12"/>
      <c r="I291" s="13">
        <v>0</v>
      </c>
      <c r="J291" s="13">
        <v>0</v>
      </c>
      <c r="K291" s="14" t="str">
        <f t="shared" si="49"/>
        <v>Twitter Web Client</v>
      </c>
      <c r="L291" s="13">
        <v>503</v>
      </c>
      <c r="M291" s="13">
        <v>1729</v>
      </c>
      <c r="N291" s="13">
        <v>11</v>
      </c>
      <c r="O291" s="15"/>
      <c r="P291" s="6">
        <v>40599.734756944446</v>
      </c>
      <c r="Q291" s="16" t="s">
        <v>30</v>
      </c>
      <c r="R291" s="17" t="s">
        <v>1199</v>
      </c>
      <c r="S291" s="11" t="s">
        <v>1200</v>
      </c>
      <c r="T291" s="12"/>
      <c r="U291" s="10" t="str">
        <f>HYPERLINK("https://pbs.twimg.com/profile_images/1062028205345964035/D0unC4So.jpg","View")</f>
        <v>View</v>
      </c>
    </row>
    <row r="292" spans="1:21" ht="13.2">
      <c r="A292" s="6">
        <v>43441.427245370374</v>
      </c>
      <c r="B292" s="7" t="str">
        <f>HYPERLINK("https://twitter.com/Julianvirome","@Julianvirome")</f>
        <v>@Julianvirome</v>
      </c>
      <c r="C292" s="8" t="s">
        <v>457</v>
      </c>
      <c r="D292" s="9" t="s">
        <v>1201</v>
      </c>
      <c r="E292" s="10" t="str">
        <f>HYPERLINK("https://twitter.com/Julianvirome/status/1070969976192937985","1070969976192937985")</f>
        <v>1070969976192937985</v>
      </c>
      <c r="F292" s="11" t="s">
        <v>127</v>
      </c>
      <c r="G292" s="12"/>
      <c r="H292" s="12"/>
      <c r="I292" s="13">
        <v>5</v>
      </c>
      <c r="J292" s="13">
        <v>5</v>
      </c>
      <c r="K292" s="14" t="str">
        <f t="shared" ref="K292:K293" si="50">HYPERLINK("http://twitter.com/download/android","Twitter for Android")</f>
        <v>Twitter for Android</v>
      </c>
      <c r="L292" s="13">
        <v>2630</v>
      </c>
      <c r="M292" s="13">
        <v>4994</v>
      </c>
      <c r="N292" s="13">
        <v>23</v>
      </c>
      <c r="O292" s="15"/>
      <c r="P292" s="6">
        <v>40630.875810185185</v>
      </c>
      <c r="Q292" s="16" t="s">
        <v>191</v>
      </c>
      <c r="R292" s="17" t="s">
        <v>459</v>
      </c>
      <c r="S292" s="12"/>
      <c r="T292" s="12"/>
      <c r="U292" s="10" t="str">
        <f>HYPERLINK("https://pbs.twimg.com/profile_images/1015475281803530241/aBROVKXy.jpg","View")</f>
        <v>View</v>
      </c>
    </row>
    <row r="293" spans="1:21" ht="20.399999999999999">
      <c r="A293" s="6">
        <v>43441.42496527778</v>
      </c>
      <c r="B293" s="7" t="str">
        <f>HYPERLINK("https://twitter.com/RamonPereaGarc3","@RamonPereaGarc3")</f>
        <v>@RamonPereaGarc3</v>
      </c>
      <c r="C293" s="8" t="s">
        <v>1202</v>
      </c>
      <c r="D293" s="9" t="s">
        <v>1203</v>
      </c>
      <c r="E293" s="10" t="str">
        <f>HYPERLINK("https://twitter.com/RamonPereaGarc3/status/1070969150380666880","1070969150380666880")</f>
        <v>1070969150380666880</v>
      </c>
      <c r="F293" s="12"/>
      <c r="G293" s="12"/>
      <c r="H293" s="12"/>
      <c r="I293" s="13">
        <v>0</v>
      </c>
      <c r="J293" s="13">
        <v>0</v>
      </c>
      <c r="K293" s="14" t="str">
        <f t="shared" si="50"/>
        <v>Twitter for Android</v>
      </c>
      <c r="L293" s="13">
        <v>0</v>
      </c>
      <c r="M293" s="13">
        <v>1</v>
      </c>
      <c r="N293" s="13">
        <v>0</v>
      </c>
      <c r="O293" s="15"/>
      <c r="P293" s="6">
        <v>43381.202083333337</v>
      </c>
      <c r="Q293" s="16" t="s">
        <v>1204</v>
      </c>
      <c r="R293" s="20"/>
      <c r="S293" s="12"/>
      <c r="T293" s="12"/>
      <c r="U293" s="10" t="str">
        <f>HYPERLINK("https://pbs.twimg.com/profile_images/1049133463855661056/9LuzOGzr.jpg","View")</f>
        <v>View</v>
      </c>
    </row>
    <row r="294" spans="1:21" ht="51">
      <c r="A294" s="6">
        <v>43441.424189814818</v>
      </c>
      <c r="B294" s="7" t="str">
        <f>HYPERLINK("https://twitter.com/brubeaker","@brubeaker")</f>
        <v>@brubeaker</v>
      </c>
      <c r="C294" s="8" t="s">
        <v>1205</v>
      </c>
      <c r="D294" s="9" t="s">
        <v>1206</v>
      </c>
      <c r="E294" s="10" t="str">
        <f>HYPERLINK("https://twitter.com/brubeaker/status/1070968868665987072","1070968868665987072")</f>
        <v>1070968868665987072</v>
      </c>
      <c r="F294" s="12"/>
      <c r="G294" s="12"/>
      <c r="H294" s="12"/>
      <c r="I294" s="13">
        <v>0</v>
      </c>
      <c r="J294" s="13">
        <v>0</v>
      </c>
      <c r="K294" s="14" t="str">
        <f t="shared" ref="K294:K295" si="51">HYPERLINK("http://twitter.com","Twitter Web Client")</f>
        <v>Twitter Web Client</v>
      </c>
      <c r="L294" s="13">
        <v>38</v>
      </c>
      <c r="M294" s="13">
        <v>164</v>
      </c>
      <c r="N294" s="13">
        <v>2</v>
      </c>
      <c r="O294" s="15"/>
      <c r="P294" s="6">
        <v>41780.336550925924</v>
      </c>
      <c r="Q294" s="12"/>
      <c r="R294" s="17" t="s">
        <v>1207</v>
      </c>
      <c r="S294" s="12"/>
      <c r="T294" s="12"/>
      <c r="U294" s="10" t="str">
        <f>HYPERLINK("https://pbs.twimg.com/profile_images/1036025081179332608/VWYH9QdS.jpg","View")</f>
        <v>View</v>
      </c>
    </row>
    <row r="295" spans="1:21" ht="30.6">
      <c r="A295" s="6">
        <v>43441.423483796301</v>
      </c>
      <c r="B295" s="7" t="str">
        <f>HYPERLINK("https://twitter.com/PIbarrondo","@PIbarrondo")</f>
        <v>@PIbarrondo</v>
      </c>
      <c r="C295" s="8" t="s">
        <v>1208</v>
      </c>
      <c r="D295" s="9" t="s">
        <v>1209</v>
      </c>
      <c r="E295" s="10" t="str">
        <f>HYPERLINK("https://twitter.com/PIbarrondo/status/1070968614025601024","1070968614025601024")</f>
        <v>1070968614025601024</v>
      </c>
      <c r="F295" s="11" t="s">
        <v>621</v>
      </c>
      <c r="G295" s="12"/>
      <c r="H295" s="12"/>
      <c r="I295" s="13">
        <v>4</v>
      </c>
      <c r="J295" s="13">
        <v>0</v>
      </c>
      <c r="K295" s="14" t="str">
        <f t="shared" si="51"/>
        <v>Twitter Web Client</v>
      </c>
      <c r="L295" s="13">
        <v>1593</v>
      </c>
      <c r="M295" s="13">
        <v>3340</v>
      </c>
      <c r="N295" s="13">
        <v>30</v>
      </c>
      <c r="O295" s="15"/>
      <c r="P295" s="6">
        <v>40858.361458333333</v>
      </c>
      <c r="Q295" s="16" t="s">
        <v>1210</v>
      </c>
      <c r="R295" s="17" t="s">
        <v>1211</v>
      </c>
      <c r="S295" s="11" t="s">
        <v>1212</v>
      </c>
      <c r="T295" s="12"/>
      <c r="U295" s="10" t="str">
        <f>HYPERLINK("https://pbs.twimg.com/profile_images/723627175472160769/3Iv--4hA.jpg","View")</f>
        <v>View</v>
      </c>
    </row>
    <row r="296" spans="1:21" ht="20.399999999999999">
      <c r="A296" s="6">
        <v>43441.42114583333</v>
      </c>
      <c r="B296" s="7" t="str">
        <f t="shared" ref="B296:B297" si="52">HYPERLINK("https://twitter.com/lolapastur","@lolapastur")</f>
        <v>@lolapastur</v>
      </c>
      <c r="C296" s="8" t="s">
        <v>1213</v>
      </c>
      <c r="D296" s="9" t="s">
        <v>1214</v>
      </c>
      <c r="E296" s="10" t="str">
        <f>HYPERLINK("https://twitter.com/lolapastur/status/1070967766499422208","1070967766499422208")</f>
        <v>1070967766499422208</v>
      </c>
      <c r="F296" s="11" t="s">
        <v>1215</v>
      </c>
      <c r="G296" s="12"/>
      <c r="H296" s="12"/>
      <c r="I296" s="13">
        <v>0</v>
      </c>
      <c r="J296" s="13">
        <v>0</v>
      </c>
      <c r="K296" s="14" t="str">
        <f t="shared" ref="K296:K297" si="53">HYPERLINK("http://twitter.com/download/iphone","Twitter for iPhone")</f>
        <v>Twitter for iPhone</v>
      </c>
      <c r="L296" s="13">
        <v>3784</v>
      </c>
      <c r="M296" s="13">
        <v>2833</v>
      </c>
      <c r="N296" s="13">
        <v>33</v>
      </c>
      <c r="O296" s="15"/>
      <c r="P296" s="6">
        <v>40913.599293981482</v>
      </c>
      <c r="Q296" s="12"/>
      <c r="R296" s="17" t="s">
        <v>1216</v>
      </c>
      <c r="S296" s="12"/>
      <c r="T296" s="12"/>
      <c r="U296" s="10" t="str">
        <f t="shared" ref="U296:U297" si="54">HYPERLINK("https://pbs.twimg.com/profile_images/934821295736451073/tnymHvNj.jpg","View")</f>
        <v>View</v>
      </c>
    </row>
    <row r="297" spans="1:21" ht="20.399999999999999">
      <c r="A297" s="6">
        <v>43441.420405092591</v>
      </c>
      <c r="B297" s="7" t="str">
        <f t="shared" si="52"/>
        <v>@lolapastur</v>
      </c>
      <c r="C297" s="8" t="s">
        <v>1213</v>
      </c>
      <c r="D297" s="9" t="s">
        <v>1217</v>
      </c>
      <c r="E297" s="10" t="str">
        <f>HYPERLINK("https://twitter.com/lolapastur/status/1070967495262134284","1070967495262134284")</f>
        <v>1070967495262134284</v>
      </c>
      <c r="F297" s="11" t="s">
        <v>1066</v>
      </c>
      <c r="G297" s="12"/>
      <c r="H297" s="12"/>
      <c r="I297" s="13">
        <v>0</v>
      </c>
      <c r="J297" s="13">
        <v>0</v>
      </c>
      <c r="K297" s="14" t="str">
        <f t="shared" si="53"/>
        <v>Twitter for iPhone</v>
      </c>
      <c r="L297" s="13">
        <v>3784</v>
      </c>
      <c r="M297" s="13">
        <v>2833</v>
      </c>
      <c r="N297" s="13">
        <v>33</v>
      </c>
      <c r="O297" s="15"/>
      <c r="P297" s="6">
        <v>40913.599293981482</v>
      </c>
      <c r="Q297" s="12"/>
      <c r="R297" s="17" t="s">
        <v>1216</v>
      </c>
      <c r="S297" s="12"/>
      <c r="T297" s="12"/>
      <c r="U297" s="10" t="str">
        <f t="shared" si="54"/>
        <v>View</v>
      </c>
    </row>
    <row r="298" spans="1:21" ht="30.6">
      <c r="A298" s="6">
        <v>43441.417395833334</v>
      </c>
      <c r="B298" s="7" t="str">
        <f>HYPERLINK("https://twitter.com/podemosmad","@podemosmad")</f>
        <v>@podemosmad</v>
      </c>
      <c r="C298" s="8" t="s">
        <v>1218</v>
      </c>
      <c r="D298" s="9" t="s">
        <v>1219</v>
      </c>
      <c r="E298" s="10" t="str">
        <f>HYPERLINK("https://twitter.com/podemosmad/status/1070966405703581696","1070966405703581696")</f>
        <v>1070966405703581696</v>
      </c>
      <c r="F298" s="11" t="s">
        <v>296</v>
      </c>
      <c r="G298" s="12"/>
      <c r="H298" s="12"/>
      <c r="I298" s="13">
        <v>25</v>
      </c>
      <c r="J298" s="13">
        <v>27</v>
      </c>
      <c r="K298" s="14" t="str">
        <f>HYPERLINK("http://twitter.com/download/android","Twitter for Android")</f>
        <v>Twitter for Android</v>
      </c>
      <c r="L298" s="13">
        <v>33182</v>
      </c>
      <c r="M298" s="13">
        <v>338</v>
      </c>
      <c r="N298" s="13">
        <v>347</v>
      </c>
      <c r="O298" s="19" t="s">
        <v>44</v>
      </c>
      <c r="P298" s="6">
        <v>42012.489861111113</v>
      </c>
      <c r="Q298" s="16" t="s">
        <v>191</v>
      </c>
      <c r="R298" s="17" t="s">
        <v>1220</v>
      </c>
      <c r="S298" s="11" t="s">
        <v>1221</v>
      </c>
      <c r="T298" s="12"/>
      <c r="U298" s="10" t="str">
        <f>HYPERLINK("https://pbs.twimg.com/profile_images/1067390509369430016/7oSALyG-.jpg","View")</f>
        <v>View</v>
      </c>
    </row>
    <row r="299" spans="1:21" ht="40.799999999999997">
      <c r="A299" s="6">
        <v>43441.412962962961</v>
      </c>
      <c r="B299" s="7" t="str">
        <f>HYPERLINK("https://twitter.com/El_Plural","@El_Plural")</f>
        <v>@El_Plural</v>
      </c>
      <c r="C299" s="8" t="s">
        <v>507</v>
      </c>
      <c r="D299" s="9" t="s">
        <v>1222</v>
      </c>
      <c r="E299" s="10" t="str">
        <f>HYPERLINK("https://twitter.com/El_Plural/status/1070964798014267393","1070964798014267393")</f>
        <v>1070964798014267393</v>
      </c>
      <c r="F299" s="11" t="s">
        <v>1197</v>
      </c>
      <c r="G299" s="12"/>
      <c r="H299" s="12"/>
      <c r="I299" s="13">
        <v>2</v>
      </c>
      <c r="J299" s="13">
        <v>0</v>
      </c>
      <c r="K299" s="14" t="str">
        <f>HYPERLINK("http://twitter.com","Twitter Web Client")</f>
        <v>Twitter Web Client</v>
      </c>
      <c r="L299" s="13">
        <v>72031</v>
      </c>
      <c r="M299" s="13">
        <v>1650</v>
      </c>
      <c r="N299" s="13">
        <v>2018</v>
      </c>
      <c r="O299" s="15"/>
      <c r="P299" s="6">
        <v>40351.51053240741</v>
      </c>
      <c r="Q299" s="16" t="s">
        <v>48</v>
      </c>
      <c r="R299" s="17" t="s">
        <v>510</v>
      </c>
      <c r="S299" s="11" t="s">
        <v>511</v>
      </c>
      <c r="T299" s="12"/>
      <c r="U299" s="10" t="str">
        <f>HYPERLINK("https://pbs.twimg.com/profile_images/1017707018138857473/kUt8X2tn.jpg","View")</f>
        <v>View</v>
      </c>
    </row>
    <row r="300" spans="1:21" ht="51">
      <c r="A300" s="6">
        <v>43441.405057870375</v>
      </c>
      <c r="B300" s="7" t="str">
        <f>HYPERLINK("https://twitter.com/PilarHLuc","@PilarHLuc")</f>
        <v>@PilarHLuc</v>
      </c>
      <c r="C300" s="8" t="s">
        <v>1223</v>
      </c>
      <c r="D300" s="9" t="s">
        <v>1224</v>
      </c>
      <c r="E300" s="10" t="str">
        <f>HYPERLINK("https://twitter.com/PilarHLuc/status/1070961933875068930","1070961933875068930")</f>
        <v>1070961933875068930</v>
      </c>
      <c r="F300" s="11" t="s">
        <v>1225</v>
      </c>
      <c r="G300" s="12"/>
      <c r="H300" s="12"/>
      <c r="I300" s="13">
        <v>151</v>
      </c>
      <c r="J300" s="13">
        <v>91</v>
      </c>
      <c r="K300" s="14" t="str">
        <f>HYPERLINK("http://twitter.com/download/iphone","Twitter for iPhone")</f>
        <v>Twitter for iPhone</v>
      </c>
      <c r="L300" s="13">
        <v>18664</v>
      </c>
      <c r="M300" s="13">
        <v>2485</v>
      </c>
      <c r="N300" s="13">
        <v>192</v>
      </c>
      <c r="O300" s="15"/>
      <c r="P300" s="6">
        <v>40717.584317129629</v>
      </c>
      <c r="Q300" s="12"/>
      <c r="R300" s="17" t="s">
        <v>1226</v>
      </c>
      <c r="S300" s="12"/>
      <c r="T300" s="12"/>
      <c r="U300" s="10" t="str">
        <f>HYPERLINK("https://pbs.twimg.com/profile_images/1005542787985690624/Hpi3Huaq.jpg","View")</f>
        <v>View</v>
      </c>
    </row>
    <row r="301" spans="1:21" ht="51">
      <c r="A301" s="6">
        <v>43441.397881944446</v>
      </c>
      <c r="B301" s="7" t="str">
        <f>HYPERLINK("https://twitter.com/brubeaker","@brubeaker")</f>
        <v>@brubeaker</v>
      </c>
      <c r="C301" s="8" t="s">
        <v>1205</v>
      </c>
      <c r="D301" s="9" t="s">
        <v>1227</v>
      </c>
      <c r="E301" s="10" t="str">
        <f>HYPERLINK("https://twitter.com/brubeaker/status/1070959333771538433","1070959333771538433")</f>
        <v>1070959333771538433</v>
      </c>
      <c r="F301" s="12"/>
      <c r="G301" s="12"/>
      <c r="H301" s="12"/>
      <c r="I301" s="13">
        <v>0</v>
      </c>
      <c r="J301" s="13">
        <v>0</v>
      </c>
      <c r="K301" s="14" t="str">
        <f>HYPERLINK("http://twitter.com","Twitter Web Client")</f>
        <v>Twitter Web Client</v>
      </c>
      <c r="L301" s="13">
        <v>38</v>
      </c>
      <c r="M301" s="13">
        <v>164</v>
      </c>
      <c r="N301" s="13">
        <v>2</v>
      </c>
      <c r="O301" s="15"/>
      <c r="P301" s="6">
        <v>41780.336550925924</v>
      </c>
      <c r="Q301" s="12"/>
      <c r="R301" s="17" t="s">
        <v>1207</v>
      </c>
      <c r="S301" s="12"/>
      <c r="T301" s="12"/>
      <c r="U301" s="10" t="str">
        <f>HYPERLINK("https://pbs.twimg.com/profile_images/1036025081179332608/VWYH9QdS.jpg","View")</f>
        <v>View</v>
      </c>
    </row>
    <row r="302" spans="1:21" ht="20.399999999999999">
      <c r="A302" s="6">
        <v>43441.393263888887</v>
      </c>
      <c r="B302" s="7" t="str">
        <f>HYPERLINK("https://twitter.com/TeresaGS26","@TeresaGS26")</f>
        <v>@TeresaGS26</v>
      </c>
      <c r="C302" s="8" t="s">
        <v>1228</v>
      </c>
      <c r="D302" s="9" t="s">
        <v>1229</v>
      </c>
      <c r="E302" s="10" t="str">
        <f>HYPERLINK("https://twitter.com/TeresaGS26/status/1070957662521753606","1070957662521753606")</f>
        <v>1070957662521753606</v>
      </c>
      <c r="F302" s="11" t="s">
        <v>1215</v>
      </c>
      <c r="G302" s="12"/>
      <c r="H302" s="12"/>
      <c r="I302" s="13">
        <v>0</v>
      </c>
      <c r="J302" s="13">
        <v>0</v>
      </c>
      <c r="K302" s="14" t="str">
        <f>HYPERLINK("http://twitter.com/download/iphone","Twitter for iPhone")</f>
        <v>Twitter for iPhone</v>
      </c>
      <c r="L302" s="13">
        <v>843</v>
      </c>
      <c r="M302" s="13">
        <v>1019</v>
      </c>
      <c r="N302" s="13">
        <v>18</v>
      </c>
      <c r="O302" s="15"/>
      <c r="P302" s="6">
        <v>42241.614548611113</v>
      </c>
      <c r="Q302" s="12"/>
      <c r="R302" s="17" t="s">
        <v>1230</v>
      </c>
      <c r="S302" s="12"/>
      <c r="T302" s="12"/>
      <c r="U302" s="10" t="str">
        <f>HYPERLINK("https://pbs.twimg.com/profile_images/636159808249446400/2J9thX4B.jpg","View")</f>
        <v>View</v>
      </c>
    </row>
    <row r="303" spans="1:21" ht="40.799999999999997">
      <c r="A303" s="6">
        <v>43441.391712962963</v>
      </c>
      <c r="B303" s="7" t="str">
        <f>HYPERLINK("https://twitter.com/ElMundoEspana","@ElMundoEspana")</f>
        <v>@ElMundoEspana</v>
      </c>
      <c r="C303" s="8" t="s">
        <v>360</v>
      </c>
      <c r="D303" s="9" t="s">
        <v>1231</v>
      </c>
      <c r="E303" s="10" t="str">
        <f>HYPERLINK("https://twitter.com/ElMundoEspana/status/1070957098652061696","1070957098652061696")</f>
        <v>1070957098652061696</v>
      </c>
      <c r="F303" s="11" t="s">
        <v>1066</v>
      </c>
      <c r="G303" s="12"/>
      <c r="H303" s="12"/>
      <c r="I303" s="13">
        <v>0</v>
      </c>
      <c r="J303" s="13">
        <v>0</v>
      </c>
      <c r="K303" s="14" t="str">
        <f>HYPERLINK("http://twitter.com","Twitter Web Client")</f>
        <v>Twitter Web Client</v>
      </c>
      <c r="L303" s="13">
        <v>18045</v>
      </c>
      <c r="M303" s="13">
        <v>652</v>
      </c>
      <c r="N303" s="13">
        <v>353</v>
      </c>
      <c r="O303" s="19" t="s">
        <v>44</v>
      </c>
      <c r="P303" s="6">
        <v>42089.415439814809</v>
      </c>
      <c r="Q303" s="12"/>
      <c r="R303" s="17" t="s">
        <v>362</v>
      </c>
      <c r="S303" s="11" t="s">
        <v>363</v>
      </c>
      <c r="T303" s="12"/>
      <c r="U303" s="10" t="str">
        <f>HYPERLINK("https://pbs.twimg.com/profile_images/780431237555032064/H6v83dkC.jpg","View")</f>
        <v>View</v>
      </c>
    </row>
    <row r="304" spans="1:21" ht="51">
      <c r="A304" s="6">
        <v>43441.38590277778</v>
      </c>
      <c r="B304" s="7" t="str">
        <f>HYPERLINK("https://twitter.com/La_Maritrini","@La_Maritrini")</f>
        <v>@La_Maritrini</v>
      </c>
      <c r="C304" s="8" t="s">
        <v>1232</v>
      </c>
      <c r="D304" s="9" t="s">
        <v>1233</v>
      </c>
      <c r="E304" s="10" t="str">
        <f>HYPERLINK("https://twitter.com/La_Maritrini/status/1070954994180997121","1070954994180997121")</f>
        <v>1070954994180997121</v>
      </c>
      <c r="F304" s="12"/>
      <c r="G304" s="12"/>
      <c r="H304" s="12"/>
      <c r="I304" s="13">
        <v>5</v>
      </c>
      <c r="J304" s="13">
        <v>5</v>
      </c>
      <c r="K304" s="14" t="str">
        <f t="shared" ref="K304:K305" si="55">HYPERLINK("http://twitter.com/download/iphone","Twitter for iPhone")</f>
        <v>Twitter for iPhone</v>
      </c>
      <c r="L304" s="13">
        <v>3814</v>
      </c>
      <c r="M304" s="13">
        <v>396</v>
      </c>
      <c r="N304" s="13">
        <v>85</v>
      </c>
      <c r="O304" s="15"/>
      <c r="P304" s="6">
        <v>40638.954074074078</v>
      </c>
      <c r="Q304" s="12"/>
      <c r="R304" s="17" t="s">
        <v>1234</v>
      </c>
      <c r="S304" s="12"/>
      <c r="T304" s="12"/>
      <c r="U304" s="10" t="str">
        <f>HYPERLINK("https://pbs.twimg.com/profile_images/926090195740581888/1iBX0Ihg.jpg","View")</f>
        <v>View</v>
      </c>
    </row>
    <row r="305" spans="1:21" ht="51">
      <c r="A305" s="6">
        <v>43441.385127314818</v>
      </c>
      <c r="B305" s="7" t="str">
        <f>HYPERLINK("https://twitter.com/AldoGCaeiro","@AldoGCaeiro")</f>
        <v>@AldoGCaeiro</v>
      </c>
      <c r="C305" s="8" t="s">
        <v>1235</v>
      </c>
      <c r="D305" s="9" t="s">
        <v>1236</v>
      </c>
      <c r="E305" s="10" t="str">
        <f>HYPERLINK("https://twitter.com/AldoGCaeiro/status/1070954710809657344","1070954710809657344")</f>
        <v>1070954710809657344</v>
      </c>
      <c r="F305" s="11" t="s">
        <v>1237</v>
      </c>
      <c r="G305" s="11" t="s">
        <v>1238</v>
      </c>
      <c r="H305" s="12"/>
      <c r="I305" s="13">
        <v>0</v>
      </c>
      <c r="J305" s="13">
        <v>0</v>
      </c>
      <c r="K305" s="14" t="str">
        <f t="shared" si="55"/>
        <v>Twitter for iPhone</v>
      </c>
      <c r="L305" s="13">
        <v>693</v>
      </c>
      <c r="M305" s="13">
        <v>1596</v>
      </c>
      <c r="N305" s="13">
        <v>17</v>
      </c>
      <c r="O305" s="15"/>
      <c r="P305" s="6">
        <v>40203.65824074074</v>
      </c>
      <c r="Q305" s="16" t="s">
        <v>1239</v>
      </c>
      <c r="R305" s="17" t="s">
        <v>1240</v>
      </c>
      <c r="S305" s="12"/>
      <c r="T305" s="12"/>
      <c r="U305" s="10" t="str">
        <f>HYPERLINK("https://pbs.twimg.com/profile_images/495174241218605056/BGfhiv53.jpeg","View")</f>
        <v>View</v>
      </c>
    </row>
    <row r="306" spans="1:21" ht="40.799999999999997">
      <c r="A306" s="6">
        <v>43441.384525462963</v>
      </c>
      <c r="B306" s="7" t="str">
        <f>HYPERLINK("https://twitter.com/brubeaker","@brubeaker")</f>
        <v>@brubeaker</v>
      </c>
      <c r="C306" s="8" t="s">
        <v>1205</v>
      </c>
      <c r="D306" s="9" t="s">
        <v>1241</v>
      </c>
      <c r="E306" s="10" t="str">
        <f>HYPERLINK("https://twitter.com/brubeaker/status/1070954493607596032","1070954493607596032")</f>
        <v>1070954493607596032</v>
      </c>
      <c r="F306" s="12"/>
      <c r="G306" s="12"/>
      <c r="H306" s="12"/>
      <c r="I306" s="13">
        <v>0</v>
      </c>
      <c r="J306" s="13">
        <v>0</v>
      </c>
      <c r="K306" s="14" t="str">
        <f>HYPERLINK("http://twitter.com","Twitter Web Client")</f>
        <v>Twitter Web Client</v>
      </c>
      <c r="L306" s="13">
        <v>38</v>
      </c>
      <c r="M306" s="13">
        <v>164</v>
      </c>
      <c r="N306" s="13">
        <v>2</v>
      </c>
      <c r="O306" s="15"/>
      <c r="P306" s="6">
        <v>41780.336550925924</v>
      </c>
      <c r="Q306" s="12"/>
      <c r="R306" s="17" t="s">
        <v>1207</v>
      </c>
      <c r="S306" s="12"/>
      <c r="T306" s="12"/>
      <c r="U306" s="10" t="str">
        <f>HYPERLINK("https://pbs.twimg.com/profile_images/1036025081179332608/VWYH9QdS.jpg","View")</f>
        <v>View</v>
      </c>
    </row>
    <row r="307" spans="1:21" ht="20.399999999999999">
      <c r="A307" s="6">
        <v>43441.375416666662</v>
      </c>
      <c r="B307" s="7" t="str">
        <f>HYPERLINK("https://twitter.com/confijudicial","@confijudicial")</f>
        <v>@confijudicial</v>
      </c>
      <c r="C307" s="8" t="s">
        <v>1242</v>
      </c>
      <c r="D307" s="9" t="s">
        <v>741</v>
      </c>
      <c r="E307" s="10" t="str">
        <f>HYPERLINK("https://twitter.com/confijudicial/status/1070951194967855104","1070951194967855104")</f>
        <v>1070951194967855104</v>
      </c>
      <c r="F307" s="11" t="s">
        <v>1243</v>
      </c>
      <c r="G307" s="11" t="s">
        <v>1244</v>
      </c>
      <c r="H307" s="12"/>
      <c r="I307" s="13">
        <v>1</v>
      </c>
      <c r="J307" s="13">
        <v>1</v>
      </c>
      <c r="K307" s="14" t="str">
        <f>HYPERLINK("http://dogtrack.es","DogTrack_Oficial")</f>
        <v>DogTrack_Oficial</v>
      </c>
      <c r="L307" s="13">
        <v>159</v>
      </c>
      <c r="M307" s="13">
        <v>162</v>
      </c>
      <c r="N307" s="13">
        <v>6</v>
      </c>
      <c r="O307" s="15"/>
      <c r="P307" s="6">
        <v>43158.747835648144</v>
      </c>
      <c r="Q307" s="16" t="s">
        <v>48</v>
      </c>
      <c r="R307" s="17" t="s">
        <v>1245</v>
      </c>
      <c r="S307" s="11" t="s">
        <v>1246</v>
      </c>
      <c r="T307" s="12"/>
      <c r="U307" s="10" t="str">
        <f>HYPERLINK("https://pbs.twimg.com/profile_images/1017082181892689922/8wLELTUR.jpg","View")</f>
        <v>View</v>
      </c>
    </row>
    <row r="308" spans="1:21" ht="40.799999999999997">
      <c r="A308" s="6">
        <v>43441.374143518522</v>
      </c>
      <c r="B308" s="7" t="str">
        <f>HYPERLINK("https://twitter.com/brubeaker","@brubeaker")</f>
        <v>@brubeaker</v>
      </c>
      <c r="C308" s="8" t="s">
        <v>1205</v>
      </c>
      <c r="D308" s="9" t="s">
        <v>1247</v>
      </c>
      <c r="E308" s="10" t="str">
        <f>HYPERLINK("https://twitter.com/brubeaker/status/1070950731937660928","1070950731937660928")</f>
        <v>1070950731937660928</v>
      </c>
      <c r="F308" s="12"/>
      <c r="G308" s="12"/>
      <c r="H308" s="12"/>
      <c r="I308" s="13">
        <v>0</v>
      </c>
      <c r="J308" s="13">
        <v>0</v>
      </c>
      <c r="K308" s="14" t="str">
        <f t="shared" ref="K308:K312" si="56">HYPERLINK("http://twitter.com","Twitter Web Client")</f>
        <v>Twitter Web Client</v>
      </c>
      <c r="L308" s="13">
        <v>38</v>
      </c>
      <c r="M308" s="13">
        <v>164</v>
      </c>
      <c r="N308" s="13">
        <v>2</v>
      </c>
      <c r="O308" s="15"/>
      <c r="P308" s="6">
        <v>41780.336550925924</v>
      </c>
      <c r="Q308" s="12"/>
      <c r="R308" s="17" t="s">
        <v>1207</v>
      </c>
      <c r="S308" s="12"/>
      <c r="T308" s="12"/>
      <c r="U308" s="10" t="str">
        <f>HYPERLINK("https://pbs.twimg.com/profile_images/1036025081179332608/VWYH9QdS.jpg","View")</f>
        <v>View</v>
      </c>
    </row>
    <row r="309" spans="1:21" ht="30.6">
      <c r="A309" s="6">
        <v>43441.372928240744</v>
      </c>
      <c r="B309" s="7" t="str">
        <f>HYPERLINK("https://twitter.com/madridesnoticia","@madridesnoticia")</f>
        <v>@madridesnoticia</v>
      </c>
      <c r="C309" s="8" t="s">
        <v>1248</v>
      </c>
      <c r="D309" s="9" t="s">
        <v>1249</v>
      </c>
      <c r="E309" s="10" t="str">
        <f>HYPERLINK("https://twitter.com/madridesnoticia/status/1070950293578412032","1070950293578412032")</f>
        <v>1070950293578412032</v>
      </c>
      <c r="F309" s="11" t="s">
        <v>1250</v>
      </c>
      <c r="G309" s="12"/>
      <c r="H309" s="12"/>
      <c r="I309" s="13">
        <v>0</v>
      </c>
      <c r="J309" s="13">
        <v>0</v>
      </c>
      <c r="K309" s="14" t="str">
        <f t="shared" si="56"/>
        <v>Twitter Web Client</v>
      </c>
      <c r="L309" s="13">
        <v>6924</v>
      </c>
      <c r="M309" s="13">
        <v>4931</v>
      </c>
      <c r="N309" s="13">
        <v>131</v>
      </c>
      <c r="O309" s="15"/>
      <c r="P309" s="6">
        <v>41932.735115740739</v>
      </c>
      <c r="Q309" s="16" t="s">
        <v>191</v>
      </c>
      <c r="R309" s="17" t="s">
        <v>1251</v>
      </c>
      <c r="S309" s="11" t="s">
        <v>1252</v>
      </c>
      <c r="T309" s="12"/>
      <c r="U309" s="10" t="str">
        <f>HYPERLINK("https://pbs.twimg.com/profile_images/991426539601498112/Y4q21om7.jpg","View")</f>
        <v>View</v>
      </c>
    </row>
    <row r="310" spans="1:21" ht="30.6">
      <c r="A310" s="6">
        <v>43441.368969907402</v>
      </c>
      <c r="B310" s="7" t="str">
        <f>HYPERLINK("https://twitter.com/CastellanoAvila","@CastellanoAvila")</f>
        <v>@CastellanoAvila</v>
      </c>
      <c r="C310" s="8" t="s">
        <v>1253</v>
      </c>
      <c r="D310" s="9" t="s">
        <v>1254</v>
      </c>
      <c r="E310" s="10" t="str">
        <f>HYPERLINK("https://twitter.com/CastellanoAvila/status/1070948856630779906","1070948856630779906")</f>
        <v>1070948856630779906</v>
      </c>
      <c r="F310" s="11" t="s">
        <v>1129</v>
      </c>
      <c r="G310" s="12"/>
      <c r="H310" s="12"/>
      <c r="I310" s="13">
        <v>2</v>
      </c>
      <c r="J310" s="13">
        <v>1</v>
      </c>
      <c r="K310" s="14" t="str">
        <f t="shared" si="56"/>
        <v>Twitter Web Client</v>
      </c>
      <c r="L310" s="13">
        <v>2020</v>
      </c>
      <c r="M310" s="13">
        <v>1757</v>
      </c>
      <c r="N310" s="13">
        <v>68</v>
      </c>
      <c r="O310" s="15"/>
      <c r="P310" s="6">
        <v>41994.527951388889</v>
      </c>
      <c r="Q310" s="16" t="s">
        <v>48</v>
      </c>
      <c r="R310" s="17" t="s">
        <v>1255</v>
      </c>
      <c r="S310" s="12"/>
      <c r="T310" s="12"/>
      <c r="U310" s="10" t="str">
        <f>HYPERLINK("https://pbs.twimg.com/profile_images/1032721451617603584/YdbfqNxm.jpg","View")</f>
        <v>View</v>
      </c>
    </row>
    <row r="311" spans="1:21" ht="40.799999999999997">
      <c r="A311" s="6">
        <v>43441.366249999999</v>
      </c>
      <c r="B311" s="7" t="str">
        <f>HYPERLINK("https://twitter.com/brubeaker","@brubeaker")</f>
        <v>@brubeaker</v>
      </c>
      <c r="C311" s="8" t="s">
        <v>1205</v>
      </c>
      <c r="D311" s="9" t="s">
        <v>1256</v>
      </c>
      <c r="E311" s="10" t="str">
        <f>HYPERLINK("https://twitter.com/brubeaker/status/1070947870096920577","1070947870096920577")</f>
        <v>1070947870096920577</v>
      </c>
      <c r="F311" s="12"/>
      <c r="G311" s="12"/>
      <c r="H311" s="12"/>
      <c r="I311" s="13">
        <v>0</v>
      </c>
      <c r="J311" s="13">
        <v>0</v>
      </c>
      <c r="K311" s="14" t="str">
        <f t="shared" si="56"/>
        <v>Twitter Web Client</v>
      </c>
      <c r="L311" s="13">
        <v>38</v>
      </c>
      <c r="M311" s="13">
        <v>164</v>
      </c>
      <c r="N311" s="13">
        <v>2</v>
      </c>
      <c r="O311" s="15"/>
      <c r="P311" s="6">
        <v>41780.336550925924</v>
      </c>
      <c r="Q311" s="12"/>
      <c r="R311" s="17" t="s">
        <v>1207</v>
      </c>
      <c r="S311" s="12"/>
      <c r="T311" s="12"/>
      <c r="U311" s="10" t="str">
        <f>HYPERLINK("https://pbs.twimg.com/profile_images/1036025081179332608/VWYH9QdS.jpg","View")</f>
        <v>View</v>
      </c>
    </row>
    <row r="312" spans="1:21" ht="51">
      <c r="A312" s="6">
        <v>43441.365370370375</v>
      </c>
      <c r="B312" s="7" t="str">
        <f>HYPERLINK("https://twitter.com/Ernesto90494965","@Ernesto90494965")</f>
        <v>@Ernesto90494965</v>
      </c>
      <c r="C312" s="8" t="s">
        <v>1257</v>
      </c>
      <c r="D312" s="9" t="s">
        <v>1258</v>
      </c>
      <c r="E312" s="10" t="str">
        <f>HYPERLINK("https://twitter.com/Ernesto90494965/status/1070947552143597569","1070947552143597569")</f>
        <v>1070947552143597569</v>
      </c>
      <c r="F312" s="16" t="s">
        <v>1259</v>
      </c>
      <c r="G312" s="12"/>
      <c r="H312" s="12"/>
      <c r="I312" s="13">
        <v>0</v>
      </c>
      <c r="J312" s="13">
        <v>0</v>
      </c>
      <c r="K312" s="14" t="str">
        <f t="shared" si="56"/>
        <v>Twitter Web Client</v>
      </c>
      <c r="L312" s="13">
        <v>725</v>
      </c>
      <c r="M312" s="13">
        <v>916</v>
      </c>
      <c r="N312" s="13">
        <v>2</v>
      </c>
      <c r="O312" s="15"/>
      <c r="P312" s="6">
        <v>43307.465509259258</v>
      </c>
      <c r="Q312" s="16" t="s">
        <v>1260</v>
      </c>
      <c r="R312" s="17" t="s">
        <v>1261</v>
      </c>
      <c r="S312" s="11" t="s">
        <v>1262</v>
      </c>
      <c r="T312" s="12"/>
      <c r="U312" s="10" t="str">
        <f>HYPERLINK("https://pbs.twimg.com/profile_images/1049598229749424128/N7IK1jtT.jpg","View")</f>
        <v>View</v>
      </c>
    </row>
    <row r="313" spans="1:21" ht="30.6">
      <c r="A313" s="6">
        <v>43441.358275462961</v>
      </c>
      <c r="B313" s="7" t="str">
        <f>HYPERLINK("https://twitter.com/darth_queconazo","@darth_queconazo")</f>
        <v>@darth_queconazo</v>
      </c>
      <c r="C313" s="8" t="s">
        <v>1263</v>
      </c>
      <c r="D313" s="9" t="s">
        <v>1264</v>
      </c>
      <c r="E313" s="10" t="str">
        <f>HYPERLINK("https://twitter.com/darth_queconazo/status/1070944980607352833","1070944980607352833")</f>
        <v>1070944980607352833</v>
      </c>
      <c r="F313" s="11" t="s">
        <v>1066</v>
      </c>
      <c r="G313" s="12"/>
      <c r="H313" s="12"/>
      <c r="I313" s="13">
        <v>0</v>
      </c>
      <c r="J313" s="13">
        <v>0</v>
      </c>
      <c r="K313" s="14" t="str">
        <f>HYPERLINK("http://twitter.com/download/android","Twitter for Android")</f>
        <v>Twitter for Android</v>
      </c>
      <c r="L313" s="13">
        <v>0</v>
      </c>
      <c r="M313" s="13">
        <v>1</v>
      </c>
      <c r="N313" s="13">
        <v>0</v>
      </c>
      <c r="O313" s="15"/>
      <c r="P313" s="6">
        <v>43126.854108796295</v>
      </c>
      <c r="Q313" s="12"/>
      <c r="R313" s="17" t="s">
        <v>1265</v>
      </c>
      <c r="S313" s="12"/>
      <c r="T313" s="12"/>
      <c r="U313" s="10" t="str">
        <f>HYPERLINK("https://pbs.twimg.com/profile_images/956973258078916608/9ZPN7DPX.jpg","View")</f>
        <v>View</v>
      </c>
    </row>
    <row r="314" spans="1:21" ht="40.799999999999997">
      <c r="A314" s="6">
        <v>43441.349675925929</v>
      </c>
      <c r="B314" s="7" t="str">
        <f>HYPERLINK("https://twitter.com/Luis45724604","@Luis45724604")</f>
        <v>@Luis45724604</v>
      </c>
      <c r="C314" s="8" t="s">
        <v>1266</v>
      </c>
      <c r="D314" s="9" t="s">
        <v>1267</v>
      </c>
      <c r="E314" s="10" t="str">
        <f>HYPERLINK("https://twitter.com/Luis45724604/status/1070941865657147392","1070941865657147392")</f>
        <v>1070941865657147392</v>
      </c>
      <c r="F314" s="12"/>
      <c r="G314" s="12"/>
      <c r="H314" s="12"/>
      <c r="I314" s="13">
        <v>0</v>
      </c>
      <c r="J314" s="13">
        <v>0</v>
      </c>
      <c r="K314" s="14" t="str">
        <f>HYPERLINK("https://mobile.twitter.com","Twitter Lite")</f>
        <v>Twitter Lite</v>
      </c>
      <c r="L314" s="13">
        <v>0</v>
      </c>
      <c r="M314" s="13">
        <v>1</v>
      </c>
      <c r="N314" s="13">
        <v>0</v>
      </c>
      <c r="O314" s="15"/>
      <c r="P314" s="6">
        <v>43286.354814814811</v>
      </c>
      <c r="Q314" s="12"/>
      <c r="R314" s="20"/>
      <c r="S314" s="12"/>
      <c r="T314" s="12"/>
      <c r="U314" s="10" t="str">
        <f>HYPERLINK("https://pbs.twimg.com/profile_images/1028762059461324801/nzaeOA9i.jpg","View")</f>
        <v>View</v>
      </c>
    </row>
    <row r="315" spans="1:21" ht="13.2">
      <c r="A315" s="6">
        <v>43441.349131944444</v>
      </c>
      <c r="B315" s="7" t="str">
        <f>HYPERLINK("https://twitter.com/automatedpedre","@automatedpedre")</f>
        <v>@automatedpedre</v>
      </c>
      <c r="C315" s="8" t="s">
        <v>1268</v>
      </c>
      <c r="D315" s="9" t="s">
        <v>1269</v>
      </c>
      <c r="E315" s="10" t="str">
        <f>HYPERLINK("https://twitter.com/automatedpedre/status/1070941670047408128","1070941670047408128")</f>
        <v>1070941670047408128</v>
      </c>
      <c r="F315" s="12"/>
      <c r="G315" s="12"/>
      <c r="H315" s="12"/>
      <c r="I315" s="13">
        <v>0</v>
      </c>
      <c r="J315" s="13">
        <v>0</v>
      </c>
      <c r="K315" s="14" t="str">
        <f>HYPERLINK("https://apps.twitter.com/app/12563260","bot lmao")</f>
        <v>bot lmao</v>
      </c>
      <c r="L315" s="13">
        <v>15</v>
      </c>
      <c r="M315" s="13">
        <v>1</v>
      </c>
      <c r="N315" s="13">
        <v>1</v>
      </c>
      <c r="O315" s="15"/>
      <c r="P315" s="6">
        <v>42554.895740740743</v>
      </c>
      <c r="Q315" s="16" t="s">
        <v>1270</v>
      </c>
      <c r="R315" s="17" t="s">
        <v>1271</v>
      </c>
      <c r="S315" s="12"/>
      <c r="T315" s="12"/>
      <c r="U315" s="10" t="str">
        <f>HYPERLINK("https://pbs.twimg.com/profile_images/1049257335070347264/nilhAJP7.jpg","View")</f>
        <v>View</v>
      </c>
    </row>
    <row r="316" spans="1:21" ht="20.399999999999999">
      <c r="A316" s="6">
        <v>43441.337581018517</v>
      </c>
      <c r="B316" s="7" t="str">
        <f>HYPERLINK("https://twitter.com/QuiricoLpez","@QuiricoLpez")</f>
        <v>@QuiricoLpez</v>
      </c>
      <c r="C316" s="8" t="s">
        <v>1272</v>
      </c>
      <c r="D316" s="9" t="s">
        <v>1273</v>
      </c>
      <c r="E316" s="10" t="str">
        <f>HYPERLINK("https://twitter.com/QuiricoLpez/status/1070937482844401664","1070937482844401664")</f>
        <v>1070937482844401664</v>
      </c>
      <c r="F316" s="11" t="s">
        <v>1274</v>
      </c>
      <c r="G316" s="12"/>
      <c r="H316" s="12"/>
      <c r="I316" s="13">
        <v>37</v>
      </c>
      <c r="J316" s="13">
        <v>25</v>
      </c>
      <c r="K316" s="14" t="str">
        <f>HYPERLINK("http://twitter.com/download/android","Twitter for Android")</f>
        <v>Twitter for Android</v>
      </c>
      <c r="L316" s="13">
        <v>6613</v>
      </c>
      <c r="M316" s="13">
        <v>4425</v>
      </c>
      <c r="N316" s="13">
        <v>32</v>
      </c>
      <c r="O316" s="15"/>
      <c r="P316" s="6">
        <v>41416.808530092589</v>
      </c>
      <c r="Q316" s="12"/>
      <c r="R316" s="17" t="s">
        <v>1275</v>
      </c>
      <c r="S316" s="12"/>
      <c r="T316" s="12"/>
      <c r="U316" s="10" t="str">
        <f>HYPERLINK("https://pbs.twimg.com/profile_images/952543104430731265/K5pKpca1.jpg","View")</f>
        <v>View</v>
      </c>
    </row>
    <row r="317" spans="1:21" ht="30.6">
      <c r="A317" s="6">
        <v>43441.329398148147</v>
      </c>
      <c r="B317" s="7" t="str">
        <f>HYPERLINK("https://twitter.com/JesusCarasa","@JesusCarasa")</f>
        <v>@JesusCarasa</v>
      </c>
      <c r="C317" s="8" t="s">
        <v>1276</v>
      </c>
      <c r="D317" s="9" t="s">
        <v>1277</v>
      </c>
      <c r="E317" s="10" t="str">
        <f>HYPERLINK("https://twitter.com/JesusCarasa/status/1070934514891919360","1070934514891919360")</f>
        <v>1070934514891919360</v>
      </c>
      <c r="F317" s="12"/>
      <c r="G317" s="11" t="s">
        <v>1278</v>
      </c>
      <c r="H317" s="12"/>
      <c r="I317" s="13">
        <v>0</v>
      </c>
      <c r="J317" s="13">
        <v>1</v>
      </c>
      <c r="K317" s="14" t="str">
        <f t="shared" ref="K317:K319" si="57">HYPERLINK("http://twitter.com","Twitter Web Client")</f>
        <v>Twitter Web Client</v>
      </c>
      <c r="L317" s="13">
        <v>16</v>
      </c>
      <c r="M317" s="13">
        <v>6</v>
      </c>
      <c r="N317" s="13">
        <v>0</v>
      </c>
      <c r="O317" s="15"/>
      <c r="P317" s="6">
        <v>42872.75886574074</v>
      </c>
      <c r="Q317" s="16" t="s">
        <v>1279</v>
      </c>
      <c r="R317" s="17" t="s">
        <v>1280</v>
      </c>
      <c r="S317" s="12"/>
      <c r="T317" s="12"/>
      <c r="U317" s="10" t="str">
        <f>HYPERLINK("https://pbs.twimg.com/profile_images/864881116305661954/HAnUhwJL.jpg","View")</f>
        <v>View</v>
      </c>
    </row>
    <row r="318" spans="1:21" ht="51">
      <c r="A318" s="6">
        <v>43441.314201388886</v>
      </c>
      <c r="B318" s="7" t="str">
        <f>HYPERLINK("https://twitter.com/_alfredodiaz_","@_alfredodiaz_")</f>
        <v>@_alfredodiaz_</v>
      </c>
      <c r="C318" s="8" t="s">
        <v>1281</v>
      </c>
      <c r="D318" s="9" t="s">
        <v>1282</v>
      </c>
      <c r="E318" s="10" t="str">
        <f>HYPERLINK("https://twitter.com/_alfredodiaz_/status/1070929009800814592","1070929009800814592")</f>
        <v>1070929009800814592</v>
      </c>
      <c r="F318" s="16" t="s">
        <v>1283</v>
      </c>
      <c r="G318" s="12"/>
      <c r="H318" s="12"/>
      <c r="I318" s="13">
        <v>0</v>
      </c>
      <c r="J318" s="13">
        <v>0</v>
      </c>
      <c r="K318" s="14" t="str">
        <f t="shared" si="57"/>
        <v>Twitter Web Client</v>
      </c>
      <c r="L318" s="13">
        <v>225</v>
      </c>
      <c r="M318" s="13">
        <v>445</v>
      </c>
      <c r="N318" s="13">
        <v>1</v>
      </c>
      <c r="O318" s="15"/>
      <c r="P318" s="6">
        <v>41297.642500000002</v>
      </c>
      <c r="Q318" s="16" t="s">
        <v>30</v>
      </c>
      <c r="R318" s="17" t="s">
        <v>1284</v>
      </c>
      <c r="S318" s="11" t="s">
        <v>1285</v>
      </c>
      <c r="T318" s="12"/>
      <c r="U318" s="10" t="str">
        <f>HYPERLINK("https://pbs.twimg.com/profile_images/1069332101009428480/-TZFcUhf.jpg","View")</f>
        <v>View</v>
      </c>
    </row>
    <row r="319" spans="1:21" ht="20.399999999999999">
      <c r="A319" s="6">
        <v>43441.291921296295</v>
      </c>
      <c r="B319" s="7" t="str">
        <f>HYPERLINK("https://twitter.com/M_AguilarBordas","@M_AguilarBordas")</f>
        <v>@M_AguilarBordas</v>
      </c>
      <c r="C319" s="8" t="s">
        <v>1286</v>
      </c>
      <c r="D319" s="9" t="s">
        <v>455</v>
      </c>
      <c r="E319" s="10" t="str">
        <f>HYPERLINK("https://twitter.com/M_AguilarBordas/status/1070920936294096896","1070920936294096896")</f>
        <v>1070920936294096896</v>
      </c>
      <c r="F319" s="11" t="s">
        <v>127</v>
      </c>
      <c r="G319" s="12"/>
      <c r="H319" s="12"/>
      <c r="I319" s="13">
        <v>0</v>
      </c>
      <c r="J319" s="13">
        <v>0</v>
      </c>
      <c r="K319" s="14" t="str">
        <f t="shared" si="57"/>
        <v>Twitter Web Client</v>
      </c>
      <c r="L319" s="13">
        <v>995</v>
      </c>
      <c r="M319" s="13">
        <v>1262</v>
      </c>
      <c r="N319" s="13">
        <v>24</v>
      </c>
      <c r="O319" s="15"/>
      <c r="P319" s="6">
        <v>40386.775057870371</v>
      </c>
      <c r="Q319" s="12"/>
      <c r="R319" s="20"/>
      <c r="S319" s="12"/>
      <c r="T319" s="12"/>
      <c r="U319" s="10" t="str">
        <f>HYPERLINK("https://pbs.twimg.com/profile_images/1048097238034079744/1kPZYdqG.jpg","View")</f>
        <v>View</v>
      </c>
    </row>
    <row r="320" spans="1:21" ht="40.799999999999997">
      <c r="A320" s="6">
        <v>43441.29142361111</v>
      </c>
      <c r="B320" s="7" t="str">
        <f>HYPERLINK("https://twitter.com/Diario_16","@Diario_16")</f>
        <v>@Diario_16</v>
      </c>
      <c r="C320" s="8" t="s">
        <v>1287</v>
      </c>
      <c r="D320" s="9" t="s">
        <v>1288</v>
      </c>
      <c r="E320" s="10" t="str">
        <f>HYPERLINK("https://twitter.com/Diario_16/status/1070920754529820673","1070920754529820673")</f>
        <v>1070920754529820673</v>
      </c>
      <c r="F320" s="11" t="s">
        <v>127</v>
      </c>
      <c r="G320" s="12"/>
      <c r="H320" s="12"/>
      <c r="I320" s="13">
        <v>6</v>
      </c>
      <c r="J320" s="13">
        <v>5</v>
      </c>
      <c r="K320" s="14" t="str">
        <f>HYPERLINK("http://diario16.com/","D16Autopost")</f>
        <v>D16Autopost</v>
      </c>
      <c r="L320" s="13">
        <v>21050</v>
      </c>
      <c r="M320" s="13">
        <v>1034</v>
      </c>
      <c r="N320" s="13">
        <v>481</v>
      </c>
      <c r="O320" s="15"/>
      <c r="P320" s="6">
        <v>42341.864768518513</v>
      </c>
      <c r="Q320" s="12"/>
      <c r="R320" s="17" t="s">
        <v>1289</v>
      </c>
      <c r="S320" s="11" t="s">
        <v>1290</v>
      </c>
      <c r="T320" s="12"/>
      <c r="U320" s="10" t="str">
        <f>HYPERLINK("https://pbs.twimg.com/profile_images/900024873275281409/nuXA921H.jpg","View")</f>
        <v>View</v>
      </c>
    </row>
    <row r="321" spans="1:21" ht="30.6">
      <c r="A321" s="6">
        <v>43441.289583333331</v>
      </c>
      <c r="B321" s="7" t="str">
        <f>HYPERLINK("https://twitter.com/mamen4949","@mamen4949")</f>
        <v>@mamen4949</v>
      </c>
      <c r="C321" s="8" t="s">
        <v>1291</v>
      </c>
      <c r="D321" s="9" t="s">
        <v>1292</v>
      </c>
      <c r="E321" s="10" t="str">
        <f>HYPERLINK("https://twitter.com/mamen4949/status/1070920088302301184","1070920088302301184")</f>
        <v>1070920088302301184</v>
      </c>
      <c r="F321" s="11" t="s">
        <v>1293</v>
      </c>
      <c r="G321" s="12"/>
      <c r="H321" s="12"/>
      <c r="I321" s="13">
        <v>0</v>
      </c>
      <c r="J321" s="13">
        <v>0</v>
      </c>
      <c r="K321" s="14" t="str">
        <f>HYPERLINK("http://twitter.com/download/android","Twitter for Android")</f>
        <v>Twitter for Android</v>
      </c>
      <c r="L321" s="13">
        <v>1</v>
      </c>
      <c r="M321" s="13">
        <v>1</v>
      </c>
      <c r="N321" s="13">
        <v>0</v>
      </c>
      <c r="O321" s="15"/>
      <c r="P321" s="6">
        <v>43414.938472222224</v>
      </c>
      <c r="Q321" s="12"/>
      <c r="R321" s="20"/>
      <c r="S321" s="12"/>
      <c r="T321" s="12"/>
      <c r="U321" s="10" t="str">
        <f>HYPERLINK("https://pbs.twimg.com/profile_images/1061372039011934208/jZQHtilh.jpg","View")</f>
        <v>View</v>
      </c>
    </row>
    <row r="322" spans="1:21" ht="51">
      <c r="A322" s="6">
        <v>43441.289560185185</v>
      </c>
      <c r="B322" s="7" t="str">
        <f>HYPERLINK("https://twitter.com/JUANPEDROB","@JUANPEDROB")</f>
        <v>@JUANPEDROB</v>
      </c>
      <c r="C322" s="8" t="s">
        <v>1294</v>
      </c>
      <c r="D322" s="9" t="s">
        <v>1231</v>
      </c>
      <c r="E322" s="10" t="str">
        <f>HYPERLINK("https://twitter.com/JUANPEDROB/status/1070920081620774912","1070920081620774912")</f>
        <v>1070920081620774912</v>
      </c>
      <c r="F322" s="11" t="s">
        <v>1066</v>
      </c>
      <c r="G322" s="12"/>
      <c r="H322" s="12"/>
      <c r="I322" s="13">
        <v>0</v>
      </c>
      <c r="J322" s="13">
        <v>0</v>
      </c>
      <c r="K322" s="14" t="str">
        <f>HYPERLINK("http://www.facebook.com/twitter","Facebook")</f>
        <v>Facebook</v>
      </c>
      <c r="L322" s="13">
        <v>626</v>
      </c>
      <c r="M322" s="13">
        <v>2467</v>
      </c>
      <c r="N322" s="13">
        <v>7</v>
      </c>
      <c r="O322" s="15"/>
      <c r="P322" s="6">
        <v>40447.886701388888</v>
      </c>
      <c r="Q322" s="16" t="s">
        <v>1295</v>
      </c>
      <c r="R322" s="17" t="s">
        <v>1296</v>
      </c>
      <c r="S322" s="12"/>
      <c r="T322" s="12"/>
      <c r="U322" s="10" t="str">
        <f>HYPERLINK("https://pbs.twimg.com/profile_images/681883191146315777/Gn_JX2cH.jpg","View")</f>
        <v>View</v>
      </c>
    </row>
    <row r="323" spans="1:21" ht="30.6">
      <c r="A323" s="6">
        <v>43441.287442129629</v>
      </c>
      <c r="B323" s="7" t="str">
        <f t="shared" ref="B323:B324" si="58">HYPERLINK("https://twitter.com/mamen4949","@mamen4949")</f>
        <v>@mamen4949</v>
      </c>
      <c r="C323" s="8" t="s">
        <v>1291</v>
      </c>
      <c r="D323" s="9" t="s">
        <v>1297</v>
      </c>
      <c r="E323" s="10" t="str">
        <f>HYPERLINK("https://twitter.com/mamen4949/status/1070919312599343104","1070919312599343104")</f>
        <v>1070919312599343104</v>
      </c>
      <c r="F323" s="11" t="s">
        <v>1298</v>
      </c>
      <c r="G323" s="12"/>
      <c r="H323" s="12"/>
      <c r="I323" s="13">
        <v>0</v>
      </c>
      <c r="J323" s="13">
        <v>0</v>
      </c>
      <c r="K323" s="14" t="str">
        <f t="shared" ref="K323:K324" si="59">HYPERLINK("http://twitter.com/download/android","Twitter for Android")</f>
        <v>Twitter for Android</v>
      </c>
      <c r="L323" s="13">
        <v>1</v>
      </c>
      <c r="M323" s="13">
        <v>1</v>
      </c>
      <c r="N323" s="13">
        <v>0</v>
      </c>
      <c r="O323" s="15"/>
      <c r="P323" s="6">
        <v>43414.938472222224</v>
      </c>
      <c r="Q323" s="12"/>
      <c r="R323" s="20"/>
      <c r="S323" s="12"/>
      <c r="T323" s="12"/>
      <c r="U323" s="10" t="str">
        <f t="shared" ref="U323:U324" si="60">HYPERLINK("https://pbs.twimg.com/profile_images/1061372039011934208/jZQHtilh.jpg","View")</f>
        <v>View</v>
      </c>
    </row>
    <row r="324" spans="1:21" ht="20.399999999999999">
      <c r="A324" s="6">
        <v>43441.286435185189</v>
      </c>
      <c r="B324" s="7" t="str">
        <f t="shared" si="58"/>
        <v>@mamen4949</v>
      </c>
      <c r="C324" s="8" t="s">
        <v>1291</v>
      </c>
      <c r="D324" s="9" t="s">
        <v>1299</v>
      </c>
      <c r="E324" s="10" t="str">
        <f>HYPERLINK("https://twitter.com/mamen4949/status/1070918949460692992","1070918949460692992")</f>
        <v>1070918949460692992</v>
      </c>
      <c r="F324" s="11" t="s">
        <v>1300</v>
      </c>
      <c r="G324" s="12"/>
      <c r="H324" s="12"/>
      <c r="I324" s="13">
        <v>0</v>
      </c>
      <c r="J324" s="13">
        <v>0</v>
      </c>
      <c r="K324" s="14" t="str">
        <f t="shared" si="59"/>
        <v>Twitter for Android</v>
      </c>
      <c r="L324" s="13">
        <v>1</v>
      </c>
      <c r="M324" s="13">
        <v>1</v>
      </c>
      <c r="N324" s="13">
        <v>0</v>
      </c>
      <c r="O324" s="15"/>
      <c r="P324" s="6">
        <v>43414.938472222224</v>
      </c>
      <c r="Q324" s="12"/>
      <c r="R324" s="20"/>
      <c r="S324" s="12"/>
      <c r="T324" s="12"/>
      <c r="U324" s="10" t="str">
        <f t="shared" si="60"/>
        <v>View</v>
      </c>
    </row>
    <row r="325" spans="1:21" ht="30.6">
      <c r="A325" s="6">
        <v>43441.284907407404</v>
      </c>
      <c r="B325" s="7" t="str">
        <f>HYPERLINK("https://twitter.com/miguelcanabal","@miguelcanabal")</f>
        <v>@miguelcanabal</v>
      </c>
      <c r="C325" s="8" t="s">
        <v>516</v>
      </c>
      <c r="D325" s="9" t="s">
        <v>1301</v>
      </c>
      <c r="E325" s="10" t="str">
        <f>HYPERLINK("https://twitter.com/miguelcanabal/status/1070918393329520640","1070918393329520640")</f>
        <v>1070918393329520640</v>
      </c>
      <c r="F325" s="11" t="s">
        <v>1302</v>
      </c>
      <c r="G325" s="12"/>
      <c r="H325" s="12"/>
      <c r="I325" s="13">
        <v>0</v>
      </c>
      <c r="J325" s="13">
        <v>0</v>
      </c>
      <c r="K325" s="14" t="str">
        <f>HYPERLINK("http://twitter.com/download/iphone","Twitter for iPhone")</f>
        <v>Twitter for iPhone</v>
      </c>
      <c r="L325" s="13">
        <v>1385</v>
      </c>
      <c r="M325" s="13">
        <v>806</v>
      </c>
      <c r="N325" s="13">
        <v>23</v>
      </c>
      <c r="O325" s="15"/>
      <c r="P325" s="6">
        <v>41549.853263888886</v>
      </c>
      <c r="Q325" s="16" t="s">
        <v>517</v>
      </c>
      <c r="R325" s="17" t="s">
        <v>518</v>
      </c>
      <c r="S325" s="12"/>
      <c r="T325" s="12"/>
      <c r="U325" s="10" t="str">
        <f>HYPERLINK("https://pbs.twimg.com/profile_images/378800000539186970/2a820c480335778b08c57ba3f2926cb0.jpeg","View")</f>
        <v>View</v>
      </c>
    </row>
    <row r="326" spans="1:21" ht="20.399999999999999">
      <c r="A326" s="6">
        <v>43441.243275462963</v>
      </c>
      <c r="B326" s="7" t="str">
        <f>HYPERLINK("https://twitter.com/EspanaActual","@EspanaActual")</f>
        <v>@EspanaActual</v>
      </c>
      <c r="C326" s="8" t="s">
        <v>1303</v>
      </c>
      <c r="D326" s="9" t="s">
        <v>1231</v>
      </c>
      <c r="E326" s="10" t="str">
        <f>HYPERLINK("https://twitter.com/EspanaActual/status/1070903306984271872","1070903306984271872")</f>
        <v>1070903306984271872</v>
      </c>
      <c r="F326" s="11" t="s">
        <v>1066</v>
      </c>
      <c r="G326" s="12"/>
      <c r="H326" s="12"/>
      <c r="I326" s="13">
        <v>0</v>
      </c>
      <c r="J326" s="13">
        <v>0</v>
      </c>
      <c r="K326" s="14" t="str">
        <f>HYPERLINK("http://www.wonderland.fm/","wonderland.fm")</f>
        <v>wonderland.fm</v>
      </c>
      <c r="L326" s="13">
        <v>255</v>
      </c>
      <c r="M326" s="13">
        <v>0</v>
      </c>
      <c r="N326" s="13">
        <v>5</v>
      </c>
      <c r="O326" s="15"/>
      <c r="P326" s="6">
        <v>41357.845486111109</v>
      </c>
      <c r="Q326" s="16" t="s">
        <v>48</v>
      </c>
      <c r="R326" s="17" t="s">
        <v>1304</v>
      </c>
      <c r="S326" s="12"/>
      <c r="T326" s="12"/>
      <c r="U326" s="10" t="str">
        <f>HYPERLINK("https://pbs.twimg.com/profile_images/745695516982378496/lAlJBkNT.jpg","View")</f>
        <v>View</v>
      </c>
    </row>
    <row r="327" spans="1:21" ht="51">
      <c r="A327" s="6">
        <v>43441.228530092594</v>
      </c>
      <c r="B327" s="7" t="str">
        <f t="shared" ref="B327:B328" si="61">HYPERLINK("https://twitter.com/CarlosBasabe4","@CarlosBasabe4")</f>
        <v>@CarlosBasabe4</v>
      </c>
      <c r="C327" s="8" t="s">
        <v>1305</v>
      </c>
      <c r="D327" s="9" t="s">
        <v>1306</v>
      </c>
      <c r="E327" s="10" t="str">
        <f>HYPERLINK("https://twitter.com/CarlosBasabe4/status/1070897964518989825","1070897964518989825")</f>
        <v>1070897964518989825</v>
      </c>
      <c r="F327" s="12"/>
      <c r="G327" s="11" t="s">
        <v>1307</v>
      </c>
      <c r="H327" s="12"/>
      <c r="I327" s="13">
        <v>0</v>
      </c>
      <c r="J327" s="13">
        <v>0</v>
      </c>
      <c r="K327" s="14" t="str">
        <f t="shared" ref="K327:K328" si="62">HYPERLINK("http://twitter.com/download/android","Twitter for Android")</f>
        <v>Twitter for Android</v>
      </c>
      <c r="L327" s="13">
        <v>1495</v>
      </c>
      <c r="M327" s="13">
        <v>4999</v>
      </c>
      <c r="N327" s="13">
        <v>3</v>
      </c>
      <c r="O327" s="15"/>
      <c r="P327" s="6">
        <v>43042.109201388885</v>
      </c>
      <c r="Q327" s="16" t="s">
        <v>1308</v>
      </c>
      <c r="R327" s="17" t="s">
        <v>1309</v>
      </c>
      <c r="S327" s="12"/>
      <c r="T327" s="12"/>
      <c r="U327" s="10" t="str">
        <f t="shared" ref="U327:U328" si="63">HYPERLINK("https://pbs.twimg.com/profile_images/1002944252354195457/jSQJRNy2.jpg","View")</f>
        <v>View</v>
      </c>
    </row>
    <row r="328" spans="1:21" ht="40.799999999999997">
      <c r="A328" s="6">
        <v>43441.22420138889</v>
      </c>
      <c r="B328" s="7" t="str">
        <f t="shared" si="61"/>
        <v>@CarlosBasabe4</v>
      </c>
      <c r="C328" s="8" t="s">
        <v>1305</v>
      </c>
      <c r="D328" s="9" t="s">
        <v>1310</v>
      </c>
      <c r="E328" s="10" t="str">
        <f>HYPERLINK("https://twitter.com/CarlosBasabe4/status/1070896396683894785","1070896396683894785")</f>
        <v>1070896396683894785</v>
      </c>
      <c r="F328" s="11" t="s">
        <v>1311</v>
      </c>
      <c r="G328" s="12"/>
      <c r="H328" s="12"/>
      <c r="I328" s="13">
        <v>0</v>
      </c>
      <c r="J328" s="13">
        <v>0</v>
      </c>
      <c r="K328" s="14" t="str">
        <f t="shared" si="62"/>
        <v>Twitter for Android</v>
      </c>
      <c r="L328" s="13">
        <v>1495</v>
      </c>
      <c r="M328" s="13">
        <v>4999</v>
      </c>
      <c r="N328" s="13">
        <v>3</v>
      </c>
      <c r="O328" s="15"/>
      <c r="P328" s="6">
        <v>43042.109201388885</v>
      </c>
      <c r="Q328" s="16" t="s">
        <v>1308</v>
      </c>
      <c r="R328" s="17" t="s">
        <v>1309</v>
      </c>
      <c r="S328" s="12"/>
      <c r="T328" s="12"/>
      <c r="U328" s="10" t="str">
        <f t="shared" si="63"/>
        <v>View</v>
      </c>
    </row>
    <row r="329" spans="1:21" ht="30.6">
      <c r="A329" s="6">
        <v>43441.159907407404</v>
      </c>
      <c r="B329" s="7" t="str">
        <f>HYPERLINK("https://twitter.com/TerminatorFern","@TerminatorFern")</f>
        <v>@TerminatorFern</v>
      </c>
      <c r="C329" s="8" t="s">
        <v>1312</v>
      </c>
      <c r="D329" s="9" t="s">
        <v>1313</v>
      </c>
      <c r="E329" s="10" t="str">
        <f>HYPERLINK("https://twitter.com/TerminatorFern/status/1070873097388077056","1070873097388077056")</f>
        <v>1070873097388077056</v>
      </c>
      <c r="F329" s="11" t="s">
        <v>1314</v>
      </c>
      <c r="G329" s="11" t="s">
        <v>1315</v>
      </c>
      <c r="H329" s="12"/>
      <c r="I329" s="13">
        <v>0</v>
      </c>
      <c r="J329" s="13">
        <v>0</v>
      </c>
      <c r="K329" s="14" t="str">
        <f>HYPERLINK("https://buffer.com","Buffer")</f>
        <v>Buffer</v>
      </c>
      <c r="L329" s="13">
        <v>728</v>
      </c>
      <c r="M329" s="13">
        <v>2010</v>
      </c>
      <c r="N329" s="13">
        <v>6</v>
      </c>
      <c r="O329" s="15"/>
      <c r="P329" s="6">
        <v>42204.513877314814</v>
      </c>
      <c r="Q329" s="16" t="s">
        <v>1316</v>
      </c>
      <c r="R329" s="17" t="s">
        <v>1317</v>
      </c>
      <c r="S329" s="12"/>
      <c r="T329" s="12"/>
      <c r="U329" s="10" t="str">
        <f>HYPERLINK("https://pbs.twimg.com/profile_images/745303274463563777/GyIW12w_.jpg","View")</f>
        <v>View</v>
      </c>
    </row>
    <row r="330" spans="1:21" ht="30.6">
      <c r="A330" s="6">
        <v>43441.149745370371</v>
      </c>
      <c r="B330" s="7" t="str">
        <f>HYPERLINK("https://twitter.com/AndersNieve","@AndersNieve")</f>
        <v>@AndersNieve</v>
      </c>
      <c r="C330" s="8" t="s">
        <v>1318</v>
      </c>
      <c r="D330" s="9" t="s">
        <v>1319</v>
      </c>
      <c r="E330" s="10" t="str">
        <f>HYPERLINK("https://twitter.com/AndersNieve/status/1070869411089780736","1070869411089780736")</f>
        <v>1070869411089780736</v>
      </c>
      <c r="F330" s="12"/>
      <c r="G330" s="12"/>
      <c r="H330" s="12"/>
      <c r="I330" s="13">
        <v>0</v>
      </c>
      <c r="J330" s="13">
        <v>1</v>
      </c>
      <c r="K330" s="14" t="str">
        <f>HYPERLINK("http://twitter.com/download/android","Twitter for Android")</f>
        <v>Twitter for Android</v>
      </c>
      <c r="L330" s="13">
        <v>421</v>
      </c>
      <c r="M330" s="13">
        <v>317</v>
      </c>
      <c r="N330" s="13">
        <v>8</v>
      </c>
      <c r="O330" s="15"/>
      <c r="P330" s="6">
        <v>42454.913391203707</v>
      </c>
      <c r="Q330" s="12"/>
      <c r="R330" s="17" t="s">
        <v>1320</v>
      </c>
      <c r="S330" s="11" t="s">
        <v>1321</v>
      </c>
      <c r="T330" s="12"/>
      <c r="U330" s="10" t="str">
        <f>HYPERLINK("https://pbs.twimg.com/profile_images/1069024534408384514/uBEweWi6.jpg","View")</f>
        <v>View</v>
      </c>
    </row>
    <row r="331" spans="1:21" ht="20.399999999999999">
      <c r="A331" s="6">
        <v>43441.130196759259</v>
      </c>
      <c r="B331" s="7" t="str">
        <f>HYPERLINK("https://twitter.com/bit_media","@bit_media")</f>
        <v>@bit_media</v>
      </c>
      <c r="C331" s="8" t="s">
        <v>1322</v>
      </c>
      <c r="D331" s="9" t="s">
        <v>1323</v>
      </c>
      <c r="E331" s="10" t="str">
        <f>HYPERLINK("https://twitter.com/bit_media/status/1070862326805467141","1070862326805467141")</f>
        <v>1070862326805467141</v>
      </c>
      <c r="F331" s="11" t="s">
        <v>1324</v>
      </c>
      <c r="G331" s="12"/>
      <c r="H331" s="12"/>
      <c r="I331" s="13">
        <v>0</v>
      </c>
      <c r="J331" s="13">
        <v>0</v>
      </c>
      <c r="K331" s="14" t="str">
        <f>HYPERLINK("http://www.noticiasbit.com","Noticias Bit")</f>
        <v>Noticias Bit</v>
      </c>
      <c r="L331" s="13">
        <v>87</v>
      </c>
      <c r="M331" s="13">
        <v>25</v>
      </c>
      <c r="N331" s="13">
        <v>13</v>
      </c>
      <c r="O331" s="15"/>
      <c r="P331" s="6">
        <v>42087.166678240741</v>
      </c>
      <c r="Q331" s="12"/>
      <c r="R331" s="17" t="s">
        <v>1325</v>
      </c>
      <c r="S331" s="12"/>
      <c r="T331" s="12"/>
      <c r="U331" s="10" t="str">
        <f>HYPERLINK("https://pbs.twimg.com/profile_images/580213204497899520/H1MpreLw.png","View")</f>
        <v>View</v>
      </c>
    </row>
    <row r="332" spans="1:21" ht="51">
      <c r="A332" s="6">
        <v>43441.126284722224</v>
      </c>
      <c r="B332" s="7" t="str">
        <f>HYPERLINK("https://twitter.com/gara_ice","@gara_ice")</f>
        <v>@gara_ice</v>
      </c>
      <c r="C332" s="8" t="s">
        <v>542</v>
      </c>
      <c r="D332" s="9" t="s">
        <v>1326</v>
      </c>
      <c r="E332" s="10" t="str">
        <f>HYPERLINK("https://twitter.com/gara_ice/status/1070860909172662272","1070860909172662272")</f>
        <v>1070860909172662272</v>
      </c>
      <c r="F332" s="11" t="s">
        <v>1327</v>
      </c>
      <c r="G332" s="12"/>
      <c r="H332" s="12"/>
      <c r="I332" s="13">
        <v>0</v>
      </c>
      <c r="J332" s="13">
        <v>0</v>
      </c>
      <c r="K332" s="14" t="str">
        <f>HYPERLINK("https://ifttt.com","IFTTT")</f>
        <v>IFTTT</v>
      </c>
      <c r="L332" s="13">
        <v>450</v>
      </c>
      <c r="M332" s="13">
        <v>434</v>
      </c>
      <c r="N332" s="13">
        <v>10</v>
      </c>
      <c r="O332" s="15"/>
      <c r="P332" s="6">
        <v>39590.435324074075</v>
      </c>
      <c r="Q332" s="12"/>
      <c r="R332" s="20"/>
      <c r="S332" s="12"/>
      <c r="T332" s="12"/>
      <c r="U332" s="10" t="str">
        <f>HYPERLINK("https://pbs.twimg.com/profile_images/561850533468971008/-4f3cnLr.jpeg","View")</f>
        <v>View</v>
      </c>
    </row>
    <row r="333" spans="1:21" ht="40.799999999999997">
      <c r="A333" s="6">
        <v>43441.1247337963</v>
      </c>
      <c r="B333" s="7" t="str">
        <f>HYPERLINK("https://twitter.com/franciscorubira","@franciscorubira")</f>
        <v>@franciscorubira</v>
      </c>
      <c r="C333" s="8" t="s">
        <v>1328</v>
      </c>
      <c r="D333" s="9" t="s">
        <v>741</v>
      </c>
      <c r="E333" s="10" t="str">
        <f>HYPERLINK("https://twitter.com/franciscorubira/status/1070860350952681472","1070860350952681472")</f>
        <v>1070860350952681472</v>
      </c>
      <c r="F333" s="11" t="s">
        <v>1329</v>
      </c>
      <c r="G333" s="11" t="s">
        <v>1330</v>
      </c>
      <c r="H333" s="12"/>
      <c r="I333" s="13">
        <v>0</v>
      </c>
      <c r="J333" s="13">
        <v>0</v>
      </c>
      <c r="K333" s="14" t="str">
        <f>HYPERLINK("https://dlvrit.com/","dlvr.it")</f>
        <v>dlvr.it</v>
      </c>
      <c r="L333" s="13">
        <v>2436</v>
      </c>
      <c r="M333" s="13">
        <v>466</v>
      </c>
      <c r="N333" s="13">
        <v>43</v>
      </c>
      <c r="O333" s="15"/>
      <c r="P333" s="6">
        <v>39871.859317129631</v>
      </c>
      <c r="Q333" s="16" t="s">
        <v>109</v>
      </c>
      <c r="R333" s="17" t="s">
        <v>1331</v>
      </c>
      <c r="S333" s="11" t="s">
        <v>1332</v>
      </c>
      <c r="T333" s="12"/>
      <c r="U333" s="10" t="str">
        <f>HYPERLINK("https://pbs.twimg.com/profile_images/3347587725/a033bb22fbb57ca30cfe28855cc75a4a.jpeg","View")</f>
        <v>View</v>
      </c>
    </row>
    <row r="334" spans="1:21" ht="40.799999999999997">
      <c r="A334" s="6">
        <v>43441.118171296301</v>
      </c>
      <c r="B334" s="7" t="str">
        <f>HYPERLINK("https://twitter.com/ChrisAfonSan","@ChrisAfonSan")</f>
        <v>@ChrisAfonSan</v>
      </c>
      <c r="C334" s="8" t="s">
        <v>1333</v>
      </c>
      <c r="D334" s="9" t="s">
        <v>1334</v>
      </c>
      <c r="E334" s="10" t="str">
        <f>HYPERLINK("https://twitter.com/ChrisAfonSan/status/1070857969984770049","1070857969984770049")</f>
        <v>1070857969984770049</v>
      </c>
      <c r="F334" s="11" t="s">
        <v>1335</v>
      </c>
      <c r="G334" s="12"/>
      <c r="H334" s="12"/>
      <c r="I334" s="13">
        <v>0</v>
      </c>
      <c r="J334" s="13">
        <v>0</v>
      </c>
      <c r="K334" s="14" t="str">
        <f>HYPERLINK("http://twitter.com","Twitter Web Client")</f>
        <v>Twitter Web Client</v>
      </c>
      <c r="L334" s="13">
        <v>542</v>
      </c>
      <c r="M334" s="13">
        <v>516</v>
      </c>
      <c r="N334" s="13">
        <v>13</v>
      </c>
      <c r="O334" s="15"/>
      <c r="P334" s="6">
        <v>40767.836967592593</v>
      </c>
      <c r="Q334" s="16" t="s">
        <v>1336</v>
      </c>
      <c r="R334" s="17" t="s">
        <v>1337</v>
      </c>
      <c r="S334" s="12"/>
      <c r="T334" s="12"/>
      <c r="U334" s="10" t="str">
        <f>HYPERLINK("https://pbs.twimg.com/profile_images/1056951169443078144/Ms2ehVv1.jpg","View")</f>
        <v>View</v>
      </c>
    </row>
    <row r="335" spans="1:21" ht="20.399999999999999">
      <c r="A335" s="6">
        <v>43441.117511574077</v>
      </c>
      <c r="B335" s="7" t="str">
        <f>HYPERLINK("https://twitter.com/titulares24hora","@titulares24hora")</f>
        <v>@titulares24hora</v>
      </c>
      <c r="C335" s="8" t="s">
        <v>352</v>
      </c>
      <c r="D335" s="9" t="s">
        <v>1231</v>
      </c>
      <c r="E335" s="10" t="str">
        <f>HYPERLINK("https://twitter.com/titulares24hora/status/1070857729785376768","1070857729785376768")</f>
        <v>1070857729785376768</v>
      </c>
      <c r="F335" s="12"/>
      <c r="G335" s="12"/>
      <c r="H335" s="12"/>
      <c r="I335" s="13">
        <v>0</v>
      </c>
      <c r="J335" s="13">
        <v>0</v>
      </c>
      <c r="K335" s="14" t="str">
        <f t="shared" ref="K335:K336" si="64">HYPERLINK("https://ifttt.com","IFTTT")</f>
        <v>IFTTT</v>
      </c>
      <c r="L335" s="13">
        <v>394</v>
      </c>
      <c r="M335" s="13">
        <v>1462</v>
      </c>
      <c r="N335" s="13">
        <v>2</v>
      </c>
      <c r="O335" s="15"/>
      <c r="P335" s="6">
        <v>42508.446805555555</v>
      </c>
      <c r="Q335" s="12"/>
      <c r="R335" s="17" t="s">
        <v>355</v>
      </c>
      <c r="S335" s="12"/>
      <c r="T335" s="12"/>
      <c r="U335" s="10" t="str">
        <f>HYPERLINK("https://pbs.twimg.com/profile_images/732855169034166272/A8O2LY2J.jpg","View")</f>
        <v>View</v>
      </c>
    </row>
    <row r="336" spans="1:21" ht="20.399999999999999">
      <c r="A336" s="6">
        <v>43441.115752314814</v>
      </c>
      <c r="B336" s="7" t="str">
        <f>HYPERLINK("https://twitter.com/adelacafe93","@adelacafe93")</f>
        <v>@adelacafe93</v>
      </c>
      <c r="C336" s="8" t="s">
        <v>322</v>
      </c>
      <c r="D336" s="9" t="s">
        <v>1231</v>
      </c>
      <c r="E336" s="10" t="str">
        <f>HYPERLINK("https://twitter.com/adelacafe93/status/1070857094490935296","1070857094490935296")</f>
        <v>1070857094490935296</v>
      </c>
      <c r="F336" s="11" t="s">
        <v>1338</v>
      </c>
      <c r="G336" s="12"/>
      <c r="H336" s="12"/>
      <c r="I336" s="13">
        <v>0</v>
      </c>
      <c r="J336" s="13">
        <v>0</v>
      </c>
      <c r="K336" s="14" t="str">
        <f t="shared" si="64"/>
        <v>IFTTT</v>
      </c>
      <c r="L336" s="13">
        <v>18</v>
      </c>
      <c r="M336" s="13">
        <v>47</v>
      </c>
      <c r="N336" s="13">
        <v>0</v>
      </c>
      <c r="O336" s="15"/>
      <c r="P336" s="6">
        <v>42761.615034722221</v>
      </c>
      <c r="Q336" s="16" t="s">
        <v>326</v>
      </c>
      <c r="R336" s="17" t="s">
        <v>327</v>
      </c>
      <c r="S336" s="12"/>
      <c r="T336" s="12"/>
      <c r="U336" s="10" t="str">
        <f>HYPERLINK("https://pbs.twimg.com/profile_images/824614694078013444/fkDV_Y0Z.jpg","View")</f>
        <v>View</v>
      </c>
    </row>
    <row r="337" spans="1:21" ht="30.6">
      <c r="A337" s="6">
        <v>43441.093148148153</v>
      </c>
      <c r="B337" s="7" t="str">
        <f>HYPERLINK("https://twitter.com/Klebam2","@Klebam2")</f>
        <v>@Klebam2</v>
      </c>
      <c r="C337" s="8" t="s">
        <v>1339</v>
      </c>
      <c r="D337" s="9" t="s">
        <v>1340</v>
      </c>
      <c r="E337" s="10" t="str">
        <f>HYPERLINK("https://twitter.com/Klebam2/status/1070848901236826112","1070848901236826112")</f>
        <v>1070848901236826112</v>
      </c>
      <c r="F337" s="11" t="s">
        <v>479</v>
      </c>
      <c r="G337" s="12"/>
      <c r="H337" s="12"/>
      <c r="I337" s="13">
        <v>0</v>
      </c>
      <c r="J337" s="13">
        <v>0</v>
      </c>
      <c r="K337" s="14" t="str">
        <f t="shared" ref="K337:K341" si="65">HYPERLINK("http://twitter.com/download/android","Twitter for Android")</f>
        <v>Twitter for Android</v>
      </c>
      <c r="L337" s="13">
        <v>379</v>
      </c>
      <c r="M337" s="13">
        <v>614</v>
      </c>
      <c r="N337" s="13">
        <v>5</v>
      </c>
      <c r="O337" s="15"/>
      <c r="P337" s="6">
        <v>43200.066261574073</v>
      </c>
      <c r="Q337" s="12"/>
      <c r="R337" s="17" t="s">
        <v>1341</v>
      </c>
      <c r="S337" s="12"/>
      <c r="T337" s="12"/>
      <c r="U337" s="10" t="str">
        <f>HYPERLINK("https://pbs.twimg.com/profile_images/988086795542892547/oQjxvGgP.jpg","View")</f>
        <v>View</v>
      </c>
    </row>
    <row r="338" spans="1:21" ht="40.799999999999997">
      <c r="A338" s="6">
        <v>43441.088148148148</v>
      </c>
      <c r="B338" s="7" t="str">
        <f>HYPERLINK("https://twitter.com/QueenPetarda","@QueenPetarda")</f>
        <v>@QueenPetarda</v>
      </c>
      <c r="C338" s="8" t="s">
        <v>1342</v>
      </c>
      <c r="D338" s="9" t="s">
        <v>1343</v>
      </c>
      <c r="E338" s="10" t="str">
        <f>HYPERLINK("https://twitter.com/QueenPetarda/status/1070847090333487104","1070847090333487104")</f>
        <v>1070847090333487104</v>
      </c>
      <c r="F338" s="11" t="s">
        <v>1344</v>
      </c>
      <c r="G338" s="12"/>
      <c r="H338" s="12"/>
      <c r="I338" s="13">
        <v>0</v>
      </c>
      <c r="J338" s="13">
        <v>0</v>
      </c>
      <c r="K338" s="14" t="str">
        <f t="shared" si="65"/>
        <v>Twitter for Android</v>
      </c>
      <c r="L338" s="13">
        <v>51</v>
      </c>
      <c r="M338" s="13">
        <v>126</v>
      </c>
      <c r="N338" s="13">
        <v>2</v>
      </c>
      <c r="O338" s="15"/>
      <c r="P338" s="6">
        <v>41003.422013888892</v>
      </c>
      <c r="Q338" s="16" t="s">
        <v>1345</v>
      </c>
      <c r="R338" s="20"/>
      <c r="S338" s="12"/>
      <c r="T338" s="12"/>
      <c r="U338" s="10" t="str">
        <f>HYPERLINK("https://pbs.twimg.com/profile_images/2033678358/cK6HMRLG","View")</f>
        <v>View</v>
      </c>
    </row>
    <row r="339" spans="1:21" ht="30.6">
      <c r="A339" s="6">
        <v>43441.073217592595</v>
      </c>
      <c r="B339" s="7" t="str">
        <f>HYPERLINK("https://twitter.com/neusalsonoe","@neusalsonoe")</f>
        <v>@neusalsonoe</v>
      </c>
      <c r="C339" s="8" t="s">
        <v>1346</v>
      </c>
      <c r="D339" s="9" t="s">
        <v>1209</v>
      </c>
      <c r="E339" s="10" t="str">
        <f>HYPERLINK("https://twitter.com/neusalsonoe/status/1070841679521959937","1070841679521959937")</f>
        <v>1070841679521959937</v>
      </c>
      <c r="F339" s="11" t="s">
        <v>621</v>
      </c>
      <c r="G339" s="12"/>
      <c r="H339" s="12"/>
      <c r="I339" s="13">
        <v>1</v>
      </c>
      <c r="J339" s="13">
        <v>0</v>
      </c>
      <c r="K339" s="14" t="str">
        <f t="shared" si="65"/>
        <v>Twitter for Android</v>
      </c>
      <c r="L339" s="13">
        <v>3637</v>
      </c>
      <c r="M339" s="13">
        <v>3782</v>
      </c>
      <c r="N339" s="13">
        <v>52</v>
      </c>
      <c r="O339" s="15"/>
      <c r="P339" s="6">
        <v>41241.813344907408</v>
      </c>
      <c r="Q339" s="12"/>
      <c r="R339" s="17" t="s">
        <v>1347</v>
      </c>
      <c r="S339" s="12"/>
      <c r="T339" s="12"/>
      <c r="U339" s="10" t="str">
        <f>HYPERLINK("https://pbs.twimg.com/profile_images/882945347169001473/XCGczEe7.jpg","View")</f>
        <v>View</v>
      </c>
    </row>
    <row r="340" spans="1:21" ht="40.799999999999997">
      <c r="A340" s="6">
        <v>43441.07303240741</v>
      </c>
      <c r="B340" s="7" t="str">
        <f>HYPERLINK("https://twitter.com/lorigados27","@lorigados27")</f>
        <v>@lorigados27</v>
      </c>
      <c r="C340" s="8" t="s">
        <v>519</v>
      </c>
      <c r="D340" s="9" t="s">
        <v>1348</v>
      </c>
      <c r="E340" s="10" t="str">
        <f>HYPERLINK("https://twitter.com/lorigados27/status/1070841614984200192","1070841614984200192")</f>
        <v>1070841614984200192</v>
      </c>
      <c r="F340" s="12"/>
      <c r="G340" s="12"/>
      <c r="H340" s="12"/>
      <c r="I340" s="13">
        <v>1</v>
      </c>
      <c r="J340" s="13">
        <v>0</v>
      </c>
      <c r="K340" s="14" t="str">
        <f t="shared" si="65"/>
        <v>Twitter for Android</v>
      </c>
      <c r="L340" s="13">
        <v>8582</v>
      </c>
      <c r="M340" s="13">
        <v>7130</v>
      </c>
      <c r="N340" s="13">
        <v>11</v>
      </c>
      <c r="O340" s="15"/>
      <c r="P340" s="6">
        <v>40825.375381944446</v>
      </c>
      <c r="Q340" s="16" t="s">
        <v>522</v>
      </c>
      <c r="R340" s="17" t="s">
        <v>523</v>
      </c>
      <c r="S340" s="12"/>
      <c r="T340" s="12"/>
      <c r="U340" s="10" t="str">
        <f>HYPERLINK("https://pbs.twimg.com/profile_images/972191901880406016/5N7GlSYc.jpg","View")</f>
        <v>View</v>
      </c>
    </row>
    <row r="341" spans="1:21" ht="13.2">
      <c r="A341" s="6">
        <v>43441.072951388887</v>
      </c>
      <c r="B341" s="7" t="str">
        <f>HYPERLINK("https://twitter.com/ss0rk","@ss0rk")</f>
        <v>@ss0rk</v>
      </c>
      <c r="C341" s="8" t="s">
        <v>1349</v>
      </c>
      <c r="D341" s="9" t="s">
        <v>1350</v>
      </c>
      <c r="E341" s="10" t="str">
        <f>HYPERLINK("https://twitter.com/ss0rk/status/1070841584076361730","1070841584076361730")</f>
        <v>1070841584076361730</v>
      </c>
      <c r="F341" s="12"/>
      <c r="G341" s="12"/>
      <c r="H341" s="12"/>
      <c r="I341" s="13">
        <v>0</v>
      </c>
      <c r="J341" s="13">
        <v>0</v>
      </c>
      <c r="K341" s="14" t="str">
        <f t="shared" si="65"/>
        <v>Twitter for Android</v>
      </c>
      <c r="L341" s="13">
        <v>446</v>
      </c>
      <c r="M341" s="13">
        <v>782</v>
      </c>
      <c r="N341" s="13">
        <v>14</v>
      </c>
      <c r="O341" s="15"/>
      <c r="P341" s="6">
        <v>40631.693657407406</v>
      </c>
      <c r="Q341" s="16" t="s">
        <v>1351</v>
      </c>
      <c r="R341" s="17" t="s">
        <v>1352</v>
      </c>
      <c r="S341" s="12"/>
      <c r="T341" s="12"/>
      <c r="U341" s="10" t="str">
        <f>HYPERLINK("https://pbs.twimg.com/profile_images/1004123096822026240/R000aWTK.jpg","View")</f>
        <v>View</v>
      </c>
    </row>
    <row r="342" spans="1:21" ht="20.399999999999999">
      <c r="A342" s="6">
        <v>43441.068391203706</v>
      </c>
      <c r="B342" s="7" t="str">
        <f>HYPERLINK("https://twitter.com/joalep1972","@joalep1972")</f>
        <v>@joalep1972</v>
      </c>
      <c r="C342" s="8" t="s">
        <v>1353</v>
      </c>
      <c r="D342" s="9" t="s">
        <v>1354</v>
      </c>
      <c r="E342" s="10" t="str">
        <f>HYPERLINK("https://twitter.com/joalep1972/status/1070839932195880965","1070839932195880965")</f>
        <v>1070839932195880965</v>
      </c>
      <c r="F342" s="11" t="s">
        <v>1355</v>
      </c>
      <c r="G342" s="12"/>
      <c r="H342" s="12"/>
      <c r="I342" s="13">
        <v>0</v>
      </c>
      <c r="J342" s="13">
        <v>0</v>
      </c>
      <c r="K342" s="14" t="str">
        <f>HYPERLINK("http://twitter.com","Twitter Web Client")</f>
        <v>Twitter Web Client</v>
      </c>
      <c r="L342" s="13">
        <v>454</v>
      </c>
      <c r="M342" s="13">
        <v>4364</v>
      </c>
      <c r="N342" s="13">
        <v>0</v>
      </c>
      <c r="O342" s="15"/>
      <c r="P342" s="6">
        <v>43235.942337962959</v>
      </c>
      <c r="Q342" s="16" t="s">
        <v>409</v>
      </c>
      <c r="R342" s="20"/>
      <c r="S342" s="11" t="s">
        <v>1356</v>
      </c>
      <c r="T342" s="12"/>
      <c r="U342" s="10" t="str">
        <f>HYPERLINK("https://pbs.twimg.com/profile_images/996494728802775043/RNsbVmZZ.jpg","View")</f>
        <v>View</v>
      </c>
    </row>
    <row r="343" spans="1:21" ht="30.6">
      <c r="A343" s="6">
        <v>43441.066527777773</v>
      </c>
      <c r="B343" s="7" t="str">
        <f t="shared" ref="B343:B344" si="66">HYPERLINK("https://twitter.com/MaraPilarFernn3","@MaraPilarFernn3")</f>
        <v>@MaraPilarFernn3</v>
      </c>
      <c r="C343" s="8" t="s">
        <v>1357</v>
      </c>
      <c r="D343" s="9" t="s">
        <v>1301</v>
      </c>
      <c r="E343" s="10" t="str">
        <f>HYPERLINK("https://twitter.com/MaraPilarFernn3/status/1070839254534758400","1070839254534758400")</f>
        <v>1070839254534758400</v>
      </c>
      <c r="F343" s="11" t="s">
        <v>1358</v>
      </c>
      <c r="G343" s="12"/>
      <c r="H343" s="12"/>
      <c r="I343" s="13">
        <v>0</v>
      </c>
      <c r="J343" s="13">
        <v>1</v>
      </c>
      <c r="K343" s="14" t="str">
        <f t="shared" ref="K343:K344" si="67">HYPERLINK("http://twitter.com/download/android","Twitter for Android")</f>
        <v>Twitter for Android</v>
      </c>
      <c r="L343" s="13">
        <v>3497</v>
      </c>
      <c r="M343" s="13">
        <v>4263</v>
      </c>
      <c r="N343" s="13">
        <v>6</v>
      </c>
      <c r="O343" s="15"/>
      <c r="P343" s="6">
        <v>43144.741076388891</v>
      </c>
      <c r="Q343" s="12"/>
      <c r="R343" s="17" t="s">
        <v>1359</v>
      </c>
      <c r="S343" s="12"/>
      <c r="T343" s="12"/>
      <c r="U343" s="10" t="str">
        <f t="shared" ref="U343:U344" si="68">HYPERLINK("https://pbs.twimg.com/profile_images/963937402619334657/H1OsvoHZ.jpg","View")</f>
        <v>View</v>
      </c>
    </row>
    <row r="344" spans="1:21" ht="30.6">
      <c r="A344" s="6">
        <v>43441.064143518517</v>
      </c>
      <c r="B344" s="7" t="str">
        <f t="shared" si="66"/>
        <v>@MaraPilarFernn3</v>
      </c>
      <c r="C344" s="8" t="s">
        <v>1357</v>
      </c>
      <c r="D344" s="9" t="s">
        <v>1360</v>
      </c>
      <c r="E344" s="10" t="str">
        <f>HYPERLINK("https://twitter.com/MaraPilarFernn3/status/1070838391162441728","1070838391162441728")</f>
        <v>1070838391162441728</v>
      </c>
      <c r="F344" s="11" t="s">
        <v>1361</v>
      </c>
      <c r="G344" s="12"/>
      <c r="H344" s="12"/>
      <c r="I344" s="13">
        <v>10</v>
      </c>
      <c r="J344" s="13">
        <v>8</v>
      </c>
      <c r="K344" s="14" t="str">
        <f t="shared" si="67"/>
        <v>Twitter for Android</v>
      </c>
      <c r="L344" s="13">
        <v>3497</v>
      </c>
      <c r="M344" s="13">
        <v>4263</v>
      </c>
      <c r="N344" s="13">
        <v>6</v>
      </c>
      <c r="O344" s="15"/>
      <c r="P344" s="6">
        <v>43144.741076388891</v>
      </c>
      <c r="Q344" s="12"/>
      <c r="R344" s="17" t="s">
        <v>1359</v>
      </c>
      <c r="S344" s="12"/>
      <c r="T344" s="12"/>
      <c r="U344" s="10" t="str">
        <f t="shared" si="68"/>
        <v>View</v>
      </c>
    </row>
    <row r="345" spans="1:21" ht="30.6">
      <c r="A345" s="6">
        <v>43441.052847222221</v>
      </c>
      <c r="B345" s="7" t="str">
        <f>HYPERLINK("https://twitter.com/camfb5","@camfb5")</f>
        <v>@camfb5</v>
      </c>
      <c r="C345" s="8" t="s">
        <v>1362</v>
      </c>
      <c r="D345" s="9" t="s">
        <v>1209</v>
      </c>
      <c r="E345" s="10" t="str">
        <f>HYPERLINK("https://twitter.com/camfb5/status/1070834297198833664","1070834297198833664")</f>
        <v>1070834297198833664</v>
      </c>
      <c r="F345" s="11" t="s">
        <v>141</v>
      </c>
      <c r="G345" s="12"/>
      <c r="H345" s="12"/>
      <c r="I345" s="13">
        <v>0</v>
      </c>
      <c r="J345" s="13">
        <v>0</v>
      </c>
      <c r="K345" s="14" t="str">
        <f>HYPERLINK("http://twitter.com","Twitter Web Client")</f>
        <v>Twitter Web Client</v>
      </c>
      <c r="L345" s="13">
        <v>25</v>
      </c>
      <c r="M345" s="13">
        <v>379</v>
      </c>
      <c r="N345" s="13">
        <v>1</v>
      </c>
      <c r="O345" s="15"/>
      <c r="P345" s="6">
        <v>42265.036226851851</v>
      </c>
      <c r="Q345" s="12"/>
      <c r="R345" s="17" t="s">
        <v>1363</v>
      </c>
      <c r="S345" s="12"/>
      <c r="T345" s="12"/>
      <c r="U345" s="10" t="str">
        <f>HYPERLINK("https://pbs.twimg.com/profile_images/900058223817961474/V30O76K6.jpg","View")</f>
        <v>View</v>
      </c>
    </row>
    <row r="346" spans="1:21" ht="30.6">
      <c r="A346" s="6">
        <v>43441.034826388888</v>
      </c>
      <c r="B346" s="7" t="str">
        <f>HYPERLINK("https://twitter.com/joseantoniogo43","@joseantoniogo43")</f>
        <v>@joseantoniogo43</v>
      </c>
      <c r="C346" s="8" t="s">
        <v>547</v>
      </c>
      <c r="D346" s="9" t="s">
        <v>1364</v>
      </c>
      <c r="E346" s="10" t="str">
        <f>HYPERLINK("https://twitter.com/joseantoniogo43/status/1070827768290648064","1070827768290648064")</f>
        <v>1070827768290648064</v>
      </c>
      <c r="F346" s="11" t="s">
        <v>1365</v>
      </c>
      <c r="G346" s="12"/>
      <c r="H346" s="12"/>
      <c r="I346" s="13">
        <v>0</v>
      </c>
      <c r="J346" s="13">
        <v>0</v>
      </c>
      <c r="K346" s="14" t="str">
        <f>HYPERLINK("http://twitter.com/download/android","Twitter for Android")</f>
        <v>Twitter for Android</v>
      </c>
      <c r="L346" s="13">
        <v>4100</v>
      </c>
      <c r="M346" s="13">
        <v>4250</v>
      </c>
      <c r="N346" s="13">
        <v>39</v>
      </c>
      <c r="O346" s="15"/>
      <c r="P346" s="6">
        <v>40845.495509259257</v>
      </c>
      <c r="Q346" s="12"/>
      <c r="R346" s="20"/>
      <c r="S346" s="12"/>
      <c r="T346" s="12"/>
      <c r="U346" s="10" t="str">
        <f>HYPERLINK("https://pbs.twimg.com/profile_images/3576388686/a66d7c55b1a8af804079aea3e66d3f4f.jpeg","View")</f>
        <v>View</v>
      </c>
    </row>
    <row r="347" spans="1:21" ht="40.799999999999997">
      <c r="A347" s="6">
        <v>43441.034236111111</v>
      </c>
      <c r="B347" s="7" t="str">
        <f>HYPERLINK("https://twitter.com/correopozuelo","@correopozuelo")</f>
        <v>@correopozuelo</v>
      </c>
      <c r="C347" s="8" t="s">
        <v>1366</v>
      </c>
      <c r="D347" s="9" t="s">
        <v>1367</v>
      </c>
      <c r="E347" s="10" t="str">
        <f>HYPERLINK("https://twitter.com/correopozuelo/status/1070827552976056320","1070827552976056320")</f>
        <v>1070827552976056320</v>
      </c>
      <c r="F347" s="11" t="s">
        <v>1368</v>
      </c>
      <c r="G347" s="11" t="s">
        <v>1369</v>
      </c>
      <c r="H347" s="12"/>
      <c r="I347" s="13">
        <v>0</v>
      </c>
      <c r="J347" s="13">
        <v>0</v>
      </c>
      <c r="K347" s="14" t="str">
        <f>HYPERLINK("http://publicize.wp.com/","WordPress.com")</f>
        <v>WordPress.com</v>
      </c>
      <c r="L347" s="13">
        <v>723</v>
      </c>
      <c r="M347" s="13">
        <v>90</v>
      </c>
      <c r="N347" s="13">
        <v>39</v>
      </c>
      <c r="O347" s="15"/>
      <c r="P347" s="6">
        <v>41542.496261574073</v>
      </c>
      <c r="Q347" s="16" t="s">
        <v>1370</v>
      </c>
      <c r="R347" s="17" t="s">
        <v>1371</v>
      </c>
      <c r="S347" s="11" t="s">
        <v>1372</v>
      </c>
      <c r="T347" s="12"/>
      <c r="U347" s="10" t="str">
        <f>HYPERLINK("https://pbs.twimg.com/profile_images/551026296965169153/wgbmZkBO.png","View")</f>
        <v>View</v>
      </c>
    </row>
    <row r="348" spans="1:21" ht="20.399999999999999">
      <c r="A348" s="6">
        <v>43441.033622685187</v>
      </c>
      <c r="B348" s="7" t="str">
        <f>HYPERLINK("https://twitter.com/AndreaRodrimon","@AndreaRodrimon")</f>
        <v>@AndreaRodrimon</v>
      </c>
      <c r="C348" s="8" t="s">
        <v>1373</v>
      </c>
      <c r="D348" s="9" t="s">
        <v>1374</v>
      </c>
      <c r="E348" s="10" t="str">
        <f>HYPERLINK("https://twitter.com/AndreaRodrimon/status/1070827332582166528","1070827332582166528")</f>
        <v>1070827332582166528</v>
      </c>
      <c r="F348" s="12"/>
      <c r="G348" s="12"/>
      <c r="H348" s="12"/>
      <c r="I348" s="13">
        <v>0</v>
      </c>
      <c r="J348" s="13">
        <v>0</v>
      </c>
      <c r="K348" s="14" t="str">
        <f>HYPERLINK("http://twitter.com/download/android","Twitter for Android")</f>
        <v>Twitter for Android</v>
      </c>
      <c r="L348" s="13">
        <v>515</v>
      </c>
      <c r="M348" s="13">
        <v>859</v>
      </c>
      <c r="N348" s="13">
        <v>24</v>
      </c>
      <c r="O348" s="15"/>
      <c r="P348" s="6">
        <v>40468.22184027778</v>
      </c>
      <c r="Q348" s="16" t="s">
        <v>1376</v>
      </c>
      <c r="R348" s="17" t="s">
        <v>1377</v>
      </c>
      <c r="S348" s="12"/>
      <c r="T348" s="12"/>
      <c r="U348" s="10" t="str">
        <f>HYPERLINK("https://pbs.twimg.com/profile_images/960821668313739264/SIsuQVRk.jpg","View")</f>
        <v>View</v>
      </c>
    </row>
    <row r="349" spans="1:21" ht="30.6">
      <c r="A349" s="6">
        <v>43441.03125</v>
      </c>
      <c r="B349" s="7" t="str">
        <f>HYPERLINK("https://twitter.com/eldiarioes","@eldiarioes")</f>
        <v>@eldiarioes</v>
      </c>
      <c r="C349" s="21" t="s">
        <v>964</v>
      </c>
      <c r="D349" s="9" t="s">
        <v>1301</v>
      </c>
      <c r="E349" s="10" t="str">
        <f>HYPERLINK("https://twitter.com/eldiarioes/status/1070826471453876224","1070826471453876224")</f>
        <v>1070826471453876224</v>
      </c>
      <c r="F349" s="11" t="s">
        <v>1314</v>
      </c>
      <c r="G349" s="11" t="s">
        <v>1378</v>
      </c>
      <c r="H349" s="12"/>
      <c r="I349" s="13">
        <v>16</v>
      </c>
      <c r="J349" s="13">
        <v>9</v>
      </c>
      <c r="K349" s="14" t="str">
        <f>HYPERLINK("https://about.twitter.com/products/tweetdeck","TweetDeck")</f>
        <v>TweetDeck</v>
      </c>
      <c r="L349" s="13">
        <v>940168</v>
      </c>
      <c r="M349" s="13">
        <v>456</v>
      </c>
      <c r="N349" s="13">
        <v>11261</v>
      </c>
      <c r="O349" s="19" t="s">
        <v>44</v>
      </c>
      <c r="P349" s="6">
        <v>40992.839189814811</v>
      </c>
      <c r="Q349" s="12"/>
      <c r="R349" s="17" t="s">
        <v>965</v>
      </c>
      <c r="S349" s="11" t="s">
        <v>966</v>
      </c>
      <c r="T349" s="12"/>
      <c r="U349" s="10" t="str">
        <f>HYPERLINK("https://pbs.twimg.com/profile_images/1016600645292511232/eYIkIK2s.jpg","View")</f>
        <v>View</v>
      </c>
    </row>
    <row r="350" spans="1:21" ht="40.799999999999997">
      <c r="A350" s="6">
        <v>43441.024375000001</v>
      </c>
      <c r="B350" s="7" t="str">
        <f>HYPERLINK("https://twitter.com/salvadorpastorb","@salvadorpastorb")</f>
        <v>@salvadorpastorb</v>
      </c>
      <c r="C350" s="8" t="s">
        <v>552</v>
      </c>
      <c r="D350" s="9" t="s">
        <v>1209</v>
      </c>
      <c r="E350" s="10" t="str">
        <f>HYPERLINK("https://twitter.com/salvadorpastorb/status/1070823979416518656","1070823979416518656")</f>
        <v>1070823979416518656</v>
      </c>
      <c r="F350" s="11" t="s">
        <v>621</v>
      </c>
      <c r="G350" s="12"/>
      <c r="H350" s="12"/>
      <c r="I350" s="13">
        <v>0</v>
      </c>
      <c r="J350" s="13">
        <v>0</v>
      </c>
      <c r="K350" s="14" t="str">
        <f>HYPERLINK("http://twitter.com","Twitter Web Client")</f>
        <v>Twitter Web Client</v>
      </c>
      <c r="L350" s="13">
        <v>1845</v>
      </c>
      <c r="M350" s="13">
        <v>4998</v>
      </c>
      <c r="N350" s="13">
        <v>49</v>
      </c>
      <c r="O350" s="15"/>
      <c r="P350" s="6">
        <v>40972.034629629634</v>
      </c>
      <c r="Q350" s="16" t="s">
        <v>48</v>
      </c>
      <c r="R350" s="17" t="s">
        <v>553</v>
      </c>
      <c r="S350" s="11" t="s">
        <v>554</v>
      </c>
      <c r="T350" s="12"/>
      <c r="U350" s="10" t="str">
        <f>HYPERLINK("https://pbs.twimg.com/profile_images/1872162133/Imagen__4_.jpg","View")</f>
        <v>View</v>
      </c>
    </row>
    <row r="351" spans="1:21" ht="40.799999999999997">
      <c r="A351" s="6">
        <v>43441.020925925928</v>
      </c>
      <c r="B351" s="7" t="str">
        <f>HYPERLINK("https://twitter.com/lextresabogados","@lextresabogados")</f>
        <v>@lextresabogados</v>
      </c>
      <c r="C351" s="8" t="s">
        <v>1379</v>
      </c>
      <c r="D351" s="9" t="s">
        <v>1380</v>
      </c>
      <c r="E351" s="10" t="str">
        <f>HYPERLINK("https://twitter.com/lextresabogados/status/1070822729576787968","1070822729576787968")</f>
        <v>1070822729576787968</v>
      </c>
      <c r="F351" s="11" t="s">
        <v>1381</v>
      </c>
      <c r="G351" s="11" t="s">
        <v>1382</v>
      </c>
      <c r="H351" s="12"/>
      <c r="I351" s="13">
        <v>0</v>
      </c>
      <c r="J351" s="13">
        <v>0</v>
      </c>
      <c r="K351" s="14" t="str">
        <f>HYPERLINK("http://35.180.36.179","botize nueva")</f>
        <v>botize nueva</v>
      </c>
      <c r="L351" s="13">
        <v>2912</v>
      </c>
      <c r="M351" s="13">
        <v>3525</v>
      </c>
      <c r="N351" s="13">
        <v>26</v>
      </c>
      <c r="O351" s="15"/>
      <c r="P351" s="6">
        <v>42880.770949074074</v>
      </c>
      <c r="Q351" s="16" t="s">
        <v>1130</v>
      </c>
      <c r="R351" s="17" t="s">
        <v>1383</v>
      </c>
      <c r="S351" s="11" t="s">
        <v>1384</v>
      </c>
      <c r="T351" s="12"/>
      <c r="U351" s="10" t="str">
        <f>HYPERLINK("https://pbs.twimg.com/profile_images/1068056978679898113/YnjKwiVy.jpg","View")</f>
        <v>View</v>
      </c>
    </row>
    <row r="352" spans="1:21" ht="40.799999999999997">
      <c r="A352" s="6">
        <v>43441.020844907413</v>
      </c>
      <c r="B352" s="7" t="str">
        <f>HYPERLINK("https://twitter.com/larazon_es","@larazon_es")</f>
        <v>@larazon_es</v>
      </c>
      <c r="C352" s="8" t="s">
        <v>178</v>
      </c>
      <c r="D352" s="9" t="s">
        <v>1385</v>
      </c>
      <c r="E352" s="10" t="str">
        <f>HYPERLINK("https://twitter.com/larazon_es/status/1070822699193303041","1070822699193303041")</f>
        <v>1070822699193303041</v>
      </c>
      <c r="F352" s="11" t="s">
        <v>1381</v>
      </c>
      <c r="G352" s="11" t="s">
        <v>1386</v>
      </c>
      <c r="H352" s="12"/>
      <c r="I352" s="13">
        <v>4</v>
      </c>
      <c r="J352" s="13">
        <v>8</v>
      </c>
      <c r="K352" s="14" t="str">
        <f>HYPERLINK("http://dogtrack.es","DogTrack_Oficial")</f>
        <v>DogTrack_Oficial</v>
      </c>
      <c r="L352" s="13">
        <v>442246</v>
      </c>
      <c r="M352" s="13">
        <v>2961</v>
      </c>
      <c r="N352" s="13">
        <v>6162</v>
      </c>
      <c r="O352" s="19" t="s">
        <v>44</v>
      </c>
      <c r="P352" s="6">
        <v>40218.530092592591</v>
      </c>
      <c r="Q352" s="16" t="s">
        <v>48</v>
      </c>
      <c r="R352" s="17" t="s">
        <v>181</v>
      </c>
      <c r="S352" s="11" t="s">
        <v>183</v>
      </c>
      <c r="T352" s="12"/>
      <c r="U352" s="10" t="str">
        <f>HYPERLINK("https://pbs.twimg.com/profile_images/1038331271108341762/TPuwz6wc.jpg","View")</f>
        <v>View</v>
      </c>
    </row>
    <row r="353" spans="1:21" ht="40.799999999999997">
      <c r="A353" s="6">
        <v>43441.020185185189</v>
      </c>
      <c r="B353" s="7" t="str">
        <f>HYPERLINK("https://twitter.com/MCICUENDEZMarti","@MCICUENDEZMarti")</f>
        <v>@MCICUENDEZMarti</v>
      </c>
      <c r="C353" s="8" t="s">
        <v>1387</v>
      </c>
      <c r="D353" s="9" t="s">
        <v>1388</v>
      </c>
      <c r="E353" s="10" t="str">
        <f>HYPERLINK("https://twitter.com/MCICUENDEZMarti/status/1070822461015494656","1070822461015494656")</f>
        <v>1070822461015494656</v>
      </c>
      <c r="F353" s="11" t="s">
        <v>1389</v>
      </c>
      <c r="G353" s="12"/>
      <c r="H353" s="12"/>
      <c r="I353" s="13">
        <v>0</v>
      </c>
      <c r="J353" s="13">
        <v>0</v>
      </c>
      <c r="K353" s="14" t="str">
        <f t="shared" ref="K353:K354" si="69">HYPERLINK("http://twitter.com/download/iphone","Twitter for iPhone")</f>
        <v>Twitter for iPhone</v>
      </c>
      <c r="L353" s="13">
        <v>3174</v>
      </c>
      <c r="M353" s="13">
        <v>1677</v>
      </c>
      <c r="N353" s="13">
        <v>50</v>
      </c>
      <c r="O353" s="15"/>
      <c r="P353" s="6">
        <v>41109.040509259255</v>
      </c>
      <c r="Q353" s="16" t="s">
        <v>1390</v>
      </c>
      <c r="R353" s="17" t="s">
        <v>1391</v>
      </c>
      <c r="S353" s="12"/>
      <c r="T353" s="12"/>
      <c r="U353" s="10" t="str">
        <f>HYPERLINK("https://pbs.twimg.com/profile_images/1042351444576423936/J34e3T3m.jpg","View")</f>
        <v>View</v>
      </c>
    </row>
    <row r="354" spans="1:21" ht="40.799999999999997">
      <c r="A354" s="6">
        <v>43441.009201388893</v>
      </c>
      <c r="B354" s="7" t="str">
        <f>HYPERLINK("https://twitter.com/MalvarezNadia","@MalvarezNadia")</f>
        <v>@MalvarezNadia</v>
      </c>
      <c r="C354" s="8" t="s">
        <v>1392</v>
      </c>
      <c r="D354" s="9" t="s">
        <v>1393</v>
      </c>
      <c r="E354" s="10" t="str">
        <f>HYPERLINK("https://twitter.com/MalvarezNadia/status/1070818481900281856","1070818481900281856")</f>
        <v>1070818481900281856</v>
      </c>
      <c r="F354" s="11" t="s">
        <v>1389</v>
      </c>
      <c r="G354" s="12"/>
      <c r="H354" s="12"/>
      <c r="I354" s="13">
        <v>12</v>
      </c>
      <c r="J354" s="13">
        <v>34</v>
      </c>
      <c r="K354" s="14" t="str">
        <f t="shared" si="69"/>
        <v>Twitter for iPhone</v>
      </c>
      <c r="L354" s="13">
        <v>2570</v>
      </c>
      <c r="M354" s="13">
        <v>1021</v>
      </c>
      <c r="N354" s="13">
        <v>45</v>
      </c>
      <c r="O354" s="15"/>
      <c r="P354" s="6">
        <v>41622.035497685181</v>
      </c>
      <c r="Q354" s="16" t="s">
        <v>232</v>
      </c>
      <c r="R354" s="17" t="s">
        <v>1394</v>
      </c>
      <c r="S354" s="11" t="s">
        <v>1395</v>
      </c>
      <c r="T354" s="12"/>
      <c r="U354" s="10" t="str">
        <f>HYPERLINK("https://pbs.twimg.com/profile_images/747365719772368896/XDS9s1DK.jpg","View")</f>
        <v>View</v>
      </c>
    </row>
    <row r="355" spans="1:21" ht="51">
      <c r="A355" s="6">
        <v>43441.008310185185</v>
      </c>
      <c r="B355" s="7" t="str">
        <f>HYPERLINK("https://twitter.com/DuplaMaria","@DuplaMaria")</f>
        <v>@DuplaMaria</v>
      </c>
      <c r="C355" s="8" t="s">
        <v>1396</v>
      </c>
      <c r="D355" s="9" t="s">
        <v>1397</v>
      </c>
      <c r="E355" s="10" t="str">
        <f>HYPERLINK("https://twitter.com/DuplaMaria/status/1070818158162993152","1070818158162993152")</f>
        <v>1070818158162993152</v>
      </c>
      <c r="F355" s="12"/>
      <c r="G355" s="12"/>
      <c r="H355" s="12"/>
      <c r="I355" s="13">
        <v>1</v>
      </c>
      <c r="J355" s="13">
        <v>4</v>
      </c>
      <c r="K355" s="14" t="str">
        <f>HYPERLINK("http://twitter.com","Twitter Web Client")</f>
        <v>Twitter Web Client</v>
      </c>
      <c r="L355" s="13">
        <v>1269</v>
      </c>
      <c r="M355" s="13">
        <v>211</v>
      </c>
      <c r="N355" s="13">
        <v>4</v>
      </c>
      <c r="O355" s="15"/>
      <c r="P355" s="6">
        <v>42114.73914351852</v>
      </c>
      <c r="Q355" s="16" t="s">
        <v>587</v>
      </c>
      <c r="R355" s="17" t="s">
        <v>1398</v>
      </c>
      <c r="S355" s="12"/>
      <c r="T355" s="12"/>
      <c r="U355" s="10" t="str">
        <f>HYPERLINK("https://pbs.twimg.com/profile_images/1063379704403628032/GXnUDrxV.jpg","View")</f>
        <v>View</v>
      </c>
    </row>
    <row r="356" spans="1:21" ht="40.799999999999997">
      <c r="A356" s="6">
        <v>43441.003310185188</v>
      </c>
      <c r="B356" s="7" t="str">
        <f>HYPERLINK("https://twitter.com/macaserma2","@macaserma2")</f>
        <v>@macaserma2</v>
      </c>
      <c r="C356" s="8" t="s">
        <v>1399</v>
      </c>
      <c r="D356" s="9" t="s">
        <v>1400</v>
      </c>
      <c r="E356" s="10" t="str">
        <f>HYPERLINK("https://twitter.com/macaserma2/status/1070816347536408576","1070816347536408576")</f>
        <v>1070816347536408576</v>
      </c>
      <c r="F356" s="11" t="s">
        <v>1401</v>
      </c>
      <c r="G356" s="12"/>
      <c r="H356" s="12"/>
      <c r="I356" s="13">
        <v>0</v>
      </c>
      <c r="J356" s="13">
        <v>2</v>
      </c>
      <c r="K356" s="14" t="str">
        <f>HYPERLINK("http://twitter.com/download/android","Twitter for Android")</f>
        <v>Twitter for Android</v>
      </c>
      <c r="L356" s="13">
        <v>61</v>
      </c>
      <c r="M356" s="13">
        <v>188</v>
      </c>
      <c r="N356" s="13">
        <v>0</v>
      </c>
      <c r="O356" s="15"/>
      <c r="P356" s="6">
        <v>40858.818877314814</v>
      </c>
      <c r="Q356" s="16" t="s">
        <v>389</v>
      </c>
      <c r="R356" s="17" t="s">
        <v>1402</v>
      </c>
      <c r="S356" s="12"/>
      <c r="T356" s="12"/>
      <c r="U356" s="10" t="str">
        <f>HYPERLINK("https://pbs.twimg.com/profile_images/1070981281582866432/YGhJz72j.jpg","View")</f>
        <v>View</v>
      </c>
    </row>
    <row r="357" spans="1:21" ht="40.799999999999997">
      <c r="A357" s="6">
        <v>43440.987870370373</v>
      </c>
      <c r="B357" s="7" t="str">
        <f>HYPERLINK("https://twitter.com/jasalo54","@jasalo54")</f>
        <v>@jasalo54</v>
      </c>
      <c r="C357" s="8" t="s">
        <v>1403</v>
      </c>
      <c r="D357" s="9" t="s">
        <v>1404</v>
      </c>
      <c r="E357" s="10" t="str">
        <f>HYPERLINK("https://twitter.com/jasalo54/status/1070810753312141312","1070810753312141312")</f>
        <v>1070810753312141312</v>
      </c>
      <c r="F357" s="11" t="s">
        <v>1405</v>
      </c>
      <c r="G357" s="12"/>
      <c r="H357" s="12"/>
      <c r="I357" s="13">
        <v>1</v>
      </c>
      <c r="J357" s="13">
        <v>0</v>
      </c>
      <c r="K357" s="14" t="str">
        <f>HYPERLINK("http://twitter.com","Twitter Web Client")</f>
        <v>Twitter Web Client</v>
      </c>
      <c r="L357" s="13">
        <v>363</v>
      </c>
      <c r="M357" s="13">
        <v>1793</v>
      </c>
      <c r="N357" s="13">
        <v>6</v>
      </c>
      <c r="O357" s="15"/>
      <c r="P357" s="6">
        <v>42004.016145833331</v>
      </c>
      <c r="Q357" s="16" t="s">
        <v>1406</v>
      </c>
      <c r="R357" s="17" t="s">
        <v>1407</v>
      </c>
      <c r="S357" s="12"/>
      <c r="T357" s="12"/>
      <c r="U357" s="10" t="str">
        <f>HYPERLINK("https://pbs.twimg.com/profile_images/852286523483582464/Tj1M7Lqo.jpg","View")</f>
        <v>View</v>
      </c>
    </row>
    <row r="358" spans="1:21" ht="20.399999999999999">
      <c r="A358" s="6">
        <v>43440.982847222222</v>
      </c>
      <c r="B358" s="7" t="str">
        <f>HYPERLINK("https://twitter.com/chuchoquehabla","@chuchoquehabla")</f>
        <v>@chuchoquehabla</v>
      </c>
      <c r="C358" s="8" t="s">
        <v>1408</v>
      </c>
      <c r="D358" s="9" t="s">
        <v>1409</v>
      </c>
      <c r="E358" s="10" t="str">
        <f>HYPERLINK("https://twitter.com/chuchoquehabla/status/1070808929058336768","1070808929058336768")</f>
        <v>1070808929058336768</v>
      </c>
      <c r="F358" s="11" t="s">
        <v>1176</v>
      </c>
      <c r="G358" s="12"/>
      <c r="H358" s="12"/>
      <c r="I358" s="13">
        <v>1</v>
      </c>
      <c r="J358" s="13">
        <v>1</v>
      </c>
      <c r="K358" s="14" t="str">
        <f>HYPERLINK("http://twitter.com/download/android","Twitter for Android")</f>
        <v>Twitter for Android</v>
      </c>
      <c r="L358" s="13">
        <v>4040</v>
      </c>
      <c r="M358" s="13">
        <v>4995</v>
      </c>
      <c r="N358" s="13">
        <v>88</v>
      </c>
      <c r="O358" s="15"/>
      <c r="P358" s="6">
        <v>42083.616203703699</v>
      </c>
      <c r="Q358" s="16" t="s">
        <v>1410</v>
      </c>
      <c r="R358" s="17" t="s">
        <v>1411</v>
      </c>
      <c r="S358" s="12"/>
      <c r="T358" s="12"/>
      <c r="U358" s="10" t="str">
        <f>HYPERLINK("https://pbs.twimg.com/profile_images/951197577445298176/Ez8MfyjC.jpg","View")</f>
        <v>View</v>
      </c>
    </row>
    <row r="359" spans="1:21" ht="30.6">
      <c r="A359" s="6">
        <v>43440.982673611114</v>
      </c>
      <c r="B359" s="7" t="str">
        <f>HYPERLINK("https://twitter.com/AlfredoSiSal","@AlfredoSiSal")</f>
        <v>@AlfredoSiSal</v>
      </c>
      <c r="C359" s="8" t="s">
        <v>904</v>
      </c>
      <c r="D359" s="9" t="s">
        <v>1209</v>
      </c>
      <c r="E359" s="10" t="str">
        <f>HYPERLINK("https://twitter.com/AlfredoSiSal/status/1070808868161290240","1070808868161290240")</f>
        <v>1070808868161290240</v>
      </c>
      <c r="F359" s="11" t="s">
        <v>621</v>
      </c>
      <c r="G359" s="12"/>
      <c r="H359" s="12"/>
      <c r="I359" s="13">
        <v>1</v>
      </c>
      <c r="J359" s="13">
        <v>0</v>
      </c>
      <c r="K359" s="14" t="str">
        <f>HYPERLINK("http://twitter.com","Twitter Web Client")</f>
        <v>Twitter Web Client</v>
      </c>
      <c r="L359" s="13">
        <v>2174</v>
      </c>
      <c r="M359" s="13">
        <v>2904</v>
      </c>
      <c r="N359" s="13">
        <v>22</v>
      </c>
      <c r="O359" s="15"/>
      <c r="P359" s="6">
        <v>41515.530127314814</v>
      </c>
      <c r="Q359" s="12"/>
      <c r="R359" s="20"/>
      <c r="S359" s="12"/>
      <c r="T359" s="12"/>
      <c r="U359" s="10" t="str">
        <f>HYPERLINK("https://pbs.twimg.com/profile_images/378800000379441556/26e68457f340274ac638c865851e4625.jpeg","View")</f>
        <v>View</v>
      </c>
    </row>
    <row r="360" spans="1:21" ht="30.6">
      <c r="A360" s="6">
        <v>43440.979166666672</v>
      </c>
      <c r="B360" s="7" t="str">
        <f>HYPERLINK("https://twitter.com/GaliciaMundiari","@GaliciaMundiari")</f>
        <v>@GaliciaMundiari</v>
      </c>
      <c r="C360" s="8" t="s">
        <v>565</v>
      </c>
      <c r="D360" s="9" t="s">
        <v>1412</v>
      </c>
      <c r="E360" s="10" t="str">
        <f>HYPERLINK("https://twitter.com/GaliciaMundiari/status/1070807596699799557","1070807596699799557")</f>
        <v>1070807596699799557</v>
      </c>
      <c r="F360" s="11" t="s">
        <v>1413</v>
      </c>
      <c r="G360" s="12"/>
      <c r="H360" s="12"/>
      <c r="I360" s="13">
        <v>0</v>
      </c>
      <c r="J360" s="13">
        <v>0</v>
      </c>
      <c r="K360" s="14" t="str">
        <f>HYPERLINK("https://about.twitter.com/products/tweetdeck","TweetDeck")</f>
        <v>TweetDeck</v>
      </c>
      <c r="L360" s="13">
        <v>731</v>
      </c>
      <c r="M360" s="13">
        <v>1487</v>
      </c>
      <c r="N360" s="13">
        <v>31</v>
      </c>
      <c r="O360" s="15"/>
      <c r="P360" s="6">
        <v>41311.572812500002</v>
      </c>
      <c r="Q360" s="16" t="s">
        <v>568</v>
      </c>
      <c r="R360" s="17" t="s">
        <v>569</v>
      </c>
      <c r="S360" s="11" t="s">
        <v>570</v>
      </c>
      <c r="T360" s="12"/>
      <c r="U360" s="10" t="str">
        <f>HYPERLINK("https://pbs.twimg.com/profile_images/983440522390929408/Q4V9I05R.jpg","View")</f>
        <v>View</v>
      </c>
    </row>
    <row r="361" spans="1:21" ht="40.799999999999997">
      <c r="A361" s="6">
        <v>43440.977152777778</v>
      </c>
      <c r="B361" s="7" t="str">
        <f>HYPERLINK("https://twitter.com/MedEvolutiva","@MedEvolutiva")</f>
        <v>@MedEvolutiva</v>
      </c>
      <c r="C361" s="8" t="s">
        <v>1414</v>
      </c>
      <c r="D361" s="9" t="s">
        <v>1087</v>
      </c>
      <c r="E361" s="10" t="str">
        <f>HYPERLINK("https://twitter.com/MedEvolutiva/status/1070806866098249728","1070806866098249728")</f>
        <v>1070806866098249728</v>
      </c>
      <c r="F361" s="11" t="s">
        <v>1415</v>
      </c>
      <c r="G361" s="11" t="s">
        <v>1416</v>
      </c>
      <c r="H361" s="12"/>
      <c r="I361" s="13">
        <v>1</v>
      </c>
      <c r="J361" s="13">
        <v>1</v>
      </c>
      <c r="K361" s="14" t="str">
        <f>HYPERLINK("https://dlvrit.com/","dlvr.it")</f>
        <v>dlvr.it</v>
      </c>
      <c r="L361" s="13">
        <v>108</v>
      </c>
      <c r="M361" s="13">
        <v>275</v>
      </c>
      <c r="N361" s="13">
        <v>0</v>
      </c>
      <c r="O361" s="15"/>
      <c r="P361" s="6">
        <v>42786.7346412037</v>
      </c>
      <c r="Q361" s="16" t="s">
        <v>1417</v>
      </c>
      <c r="R361" s="17" t="s">
        <v>1418</v>
      </c>
      <c r="S361" s="11" t="s">
        <v>1419</v>
      </c>
      <c r="T361" s="12"/>
      <c r="U361" s="10" t="str">
        <f>HYPERLINK("https://pbs.twimg.com/profile_images/833721760788803585/URyMLiI0.jpg","View")</f>
        <v>View</v>
      </c>
    </row>
    <row r="362" spans="1:21" ht="30.6">
      <c r="A362" s="6">
        <v>43440.9769212963</v>
      </c>
      <c r="B362" s="7" t="str">
        <f>HYPERLINK("https://twitter.com/Joansinmiedo","@Joansinmiedo")</f>
        <v>@Joansinmiedo</v>
      </c>
      <c r="C362" s="8" t="s">
        <v>1420</v>
      </c>
      <c r="D362" s="9" t="s">
        <v>1364</v>
      </c>
      <c r="E362" s="10" t="str">
        <f>HYPERLINK("https://twitter.com/Joansinmiedo/status/1070806782765875200","1070806782765875200")</f>
        <v>1070806782765875200</v>
      </c>
      <c r="F362" s="11" t="s">
        <v>1421</v>
      </c>
      <c r="G362" s="12"/>
      <c r="H362" s="12"/>
      <c r="I362" s="13">
        <v>0</v>
      </c>
      <c r="J362" s="13">
        <v>0</v>
      </c>
      <c r="K362" s="14" t="str">
        <f>HYPERLINK("http://twitter.com/#!/download/ipad","Twitter for iPad")</f>
        <v>Twitter for iPad</v>
      </c>
      <c r="L362" s="13">
        <v>5183</v>
      </c>
      <c r="M362" s="13">
        <v>103</v>
      </c>
      <c r="N362" s="13">
        <v>270</v>
      </c>
      <c r="O362" s="15"/>
      <c r="P362" s="6">
        <v>39652.990162037036</v>
      </c>
      <c r="Q362" s="16" t="s">
        <v>1422</v>
      </c>
      <c r="R362" s="17" t="s">
        <v>1423</v>
      </c>
      <c r="S362" s="12"/>
      <c r="T362" s="12"/>
      <c r="U362" s="10" t="str">
        <f>HYPERLINK("https://pbs.twimg.com/profile_images/1070455430923673600/kuzI3pXz.jpg","View")</f>
        <v>View</v>
      </c>
    </row>
    <row r="363" spans="1:21" ht="30.6">
      <c r="A363" s="6">
        <v>43440.96475694445</v>
      </c>
      <c r="B363" s="7" t="str">
        <f>HYPERLINK("https://twitter.com/edumpinto","@edumpinto")</f>
        <v>@edumpinto</v>
      </c>
      <c r="C363" s="8" t="s">
        <v>1424</v>
      </c>
      <c r="D363" s="9" t="s">
        <v>1209</v>
      </c>
      <c r="E363" s="10" t="str">
        <f>HYPERLINK("https://twitter.com/edumpinto/status/1070802374829240320","1070802374829240320")</f>
        <v>1070802374829240320</v>
      </c>
      <c r="F363" s="11" t="s">
        <v>141</v>
      </c>
      <c r="G363" s="12"/>
      <c r="H363" s="12"/>
      <c r="I363" s="13">
        <v>0</v>
      </c>
      <c r="J363" s="13">
        <v>0</v>
      </c>
      <c r="K363" s="14" t="str">
        <f t="shared" ref="K363:K365" si="70">HYPERLINK("http://twitter.com","Twitter Web Client")</f>
        <v>Twitter Web Client</v>
      </c>
      <c r="L363" s="13">
        <v>271</v>
      </c>
      <c r="M363" s="13">
        <v>317</v>
      </c>
      <c r="N363" s="13">
        <v>9</v>
      </c>
      <c r="O363" s="15"/>
      <c r="P363" s="6">
        <v>40616.966064814813</v>
      </c>
      <c r="Q363" s="16" t="s">
        <v>715</v>
      </c>
      <c r="R363" s="17" t="s">
        <v>1425</v>
      </c>
      <c r="S363" s="12"/>
      <c r="T363" s="12"/>
      <c r="U363" s="10" t="str">
        <f>HYPERLINK("https://pbs.twimg.com/profile_images/862345779788251136/VSHbK4Q7.jpg","View")</f>
        <v>View</v>
      </c>
    </row>
    <row r="364" spans="1:21" ht="30.6">
      <c r="A364" s="6">
        <v>43440.963333333333</v>
      </c>
      <c r="B364" s="7" t="str">
        <f>HYPERLINK("https://twitter.com/SocialCiudadano","@SocialCiudadano")</f>
        <v>@SocialCiudadano</v>
      </c>
      <c r="C364" s="8" t="s">
        <v>1426</v>
      </c>
      <c r="D364" s="9" t="s">
        <v>1364</v>
      </c>
      <c r="E364" s="10" t="str">
        <f>HYPERLINK("https://twitter.com/SocialCiudadano/status/1070801859928092672","1070801859928092672")</f>
        <v>1070801859928092672</v>
      </c>
      <c r="F364" s="11" t="s">
        <v>1365</v>
      </c>
      <c r="G364" s="12"/>
      <c r="H364" s="12"/>
      <c r="I364" s="13">
        <v>2</v>
      </c>
      <c r="J364" s="13">
        <v>0</v>
      </c>
      <c r="K364" s="14" t="str">
        <f t="shared" si="70"/>
        <v>Twitter Web Client</v>
      </c>
      <c r="L364" s="13">
        <v>642</v>
      </c>
      <c r="M364" s="13">
        <v>1326</v>
      </c>
      <c r="N364" s="13">
        <v>2</v>
      </c>
      <c r="O364" s="15"/>
      <c r="P364" s="6">
        <v>42388.957048611112</v>
      </c>
      <c r="Q364" s="16" t="s">
        <v>1427</v>
      </c>
      <c r="R364" s="17" t="s">
        <v>1428</v>
      </c>
      <c r="S364" s="11" t="s">
        <v>1429</v>
      </c>
      <c r="T364" s="12"/>
      <c r="U364" s="10" t="str">
        <f>HYPERLINK("https://pbs.twimg.com/profile_images/989849592748564480/jnmloev4.jpg","View")</f>
        <v>View</v>
      </c>
    </row>
    <row r="365" spans="1:21" ht="51">
      <c r="A365" s="6">
        <v>43440.961909722224</v>
      </c>
      <c r="B365" s="7" t="str">
        <f>HYPERLINK("https://twitter.com/MarioLopBa","@MarioLopBa")</f>
        <v>@MarioLopBa</v>
      </c>
      <c r="C365" s="8" t="s">
        <v>1430</v>
      </c>
      <c r="D365" s="9" t="s">
        <v>1431</v>
      </c>
      <c r="E365" s="10" t="str">
        <f>HYPERLINK("https://twitter.com/MarioLopBa/status/1070801345094017025","1070801345094017025")</f>
        <v>1070801345094017025</v>
      </c>
      <c r="F365" s="11" t="s">
        <v>1432</v>
      </c>
      <c r="G365" s="12"/>
      <c r="H365" s="12"/>
      <c r="I365" s="13">
        <v>3</v>
      </c>
      <c r="J365" s="13">
        <v>3</v>
      </c>
      <c r="K365" s="14" t="str">
        <f t="shared" si="70"/>
        <v>Twitter Web Client</v>
      </c>
      <c r="L365" s="13">
        <v>419</v>
      </c>
      <c r="M365" s="13">
        <v>117</v>
      </c>
      <c r="N365" s="13">
        <v>10</v>
      </c>
      <c r="O365" s="15"/>
      <c r="P365" s="6">
        <v>41303.329502314817</v>
      </c>
      <c r="Q365" s="12"/>
      <c r="R365" s="17" t="s">
        <v>1433</v>
      </c>
      <c r="S365" s="11" t="s">
        <v>1434</v>
      </c>
      <c r="T365" s="12"/>
      <c r="U365" s="10" t="str">
        <f>HYPERLINK("https://pbs.twimg.com/profile_images/865596858835451904/A3nVShkE.jpg","View")</f>
        <v>View</v>
      </c>
    </row>
    <row r="366" spans="1:21" ht="30.6">
      <c r="A366" s="6">
        <v>43440.961134259254</v>
      </c>
      <c r="B366" s="7" t="str">
        <f>HYPERLINK("https://twitter.com/LuengoJose","@LuengoJose")</f>
        <v>@LuengoJose</v>
      </c>
      <c r="C366" s="8" t="s">
        <v>1435</v>
      </c>
      <c r="D366" s="9" t="s">
        <v>1209</v>
      </c>
      <c r="E366" s="10" t="str">
        <f>HYPERLINK("https://twitter.com/LuengoJose/status/1070801064142741504","1070801064142741504")</f>
        <v>1070801064142741504</v>
      </c>
      <c r="F366" s="11" t="s">
        <v>141</v>
      </c>
      <c r="G366" s="12"/>
      <c r="H366" s="12"/>
      <c r="I366" s="13">
        <v>0</v>
      </c>
      <c r="J366" s="13">
        <v>0</v>
      </c>
      <c r="K366" s="14" t="str">
        <f>HYPERLINK("http://twitter.com/download/android","Twitter for Android")</f>
        <v>Twitter for Android</v>
      </c>
      <c r="L366" s="13">
        <v>453</v>
      </c>
      <c r="M366" s="13">
        <v>743</v>
      </c>
      <c r="N366" s="13">
        <v>11</v>
      </c>
      <c r="O366" s="15"/>
      <c r="P366" s="6">
        <v>41044.729513888888</v>
      </c>
      <c r="Q366" s="12"/>
      <c r="R366" s="17" t="s">
        <v>1436</v>
      </c>
      <c r="S366" s="12"/>
      <c r="T366" s="12"/>
      <c r="U366" s="10" t="str">
        <f>HYPERLINK("https://pbs.twimg.com/profile_images/592380561525714946/FbRCgvhI.jpg","View")</f>
        <v>View</v>
      </c>
    </row>
    <row r="367" spans="1:21" ht="30.6">
      <c r="A367" s="6">
        <v>43440.961099537039</v>
      </c>
      <c r="B367" s="7" t="str">
        <f>HYPERLINK("https://twitter.com/AgustinCarrer19","@AgustinCarrer19")</f>
        <v>@AgustinCarrer19</v>
      </c>
      <c r="C367" s="8" t="s">
        <v>1437</v>
      </c>
      <c r="D367" s="9" t="s">
        <v>1364</v>
      </c>
      <c r="E367" s="10" t="str">
        <f>HYPERLINK("https://twitter.com/AgustinCarrer19/status/1070801051576455168","1070801051576455168")</f>
        <v>1070801051576455168</v>
      </c>
      <c r="F367" s="11" t="s">
        <v>1365</v>
      </c>
      <c r="G367" s="12"/>
      <c r="H367" s="12"/>
      <c r="I367" s="13">
        <v>0</v>
      </c>
      <c r="J367" s="13">
        <v>0</v>
      </c>
      <c r="K367" s="14" t="str">
        <f t="shared" ref="K367:K368" si="71">HYPERLINK("http://twitter.com","Twitter Web Client")</f>
        <v>Twitter Web Client</v>
      </c>
      <c r="L367" s="13">
        <v>214</v>
      </c>
      <c r="M367" s="13">
        <v>312</v>
      </c>
      <c r="N367" s="13">
        <v>8</v>
      </c>
      <c r="O367" s="15"/>
      <c r="P367" s="6">
        <v>41725.527962962966</v>
      </c>
      <c r="Q367" s="16" t="s">
        <v>1438</v>
      </c>
      <c r="R367" s="17" t="s">
        <v>1439</v>
      </c>
      <c r="S367" s="12"/>
      <c r="T367" s="12"/>
      <c r="U367" s="10" t="str">
        <f>HYPERLINK("https://pbs.twimg.com/profile_images/1060630217209847809/2yH8Q-Cz.jpg","View")</f>
        <v>View</v>
      </c>
    </row>
    <row r="368" spans="1:21" ht="51">
      <c r="A368" s="6">
        <v>43440.959456018521</v>
      </c>
      <c r="B368" s="7" t="str">
        <f>HYPERLINK("https://twitter.com/joseluisportela","@joseluisportela")</f>
        <v>@joseluisportela</v>
      </c>
      <c r="C368" s="8" t="s">
        <v>1441</v>
      </c>
      <c r="D368" s="9" t="s">
        <v>1442</v>
      </c>
      <c r="E368" s="10" t="str">
        <f>HYPERLINK("https://twitter.com/joseluisportela/status/1070800455385653249","1070800455385653249")</f>
        <v>1070800455385653249</v>
      </c>
      <c r="F368" s="12"/>
      <c r="G368" s="12"/>
      <c r="H368" s="12"/>
      <c r="I368" s="13">
        <v>1</v>
      </c>
      <c r="J368" s="13">
        <v>6</v>
      </c>
      <c r="K368" s="14" t="str">
        <f t="shared" si="71"/>
        <v>Twitter Web Client</v>
      </c>
      <c r="L368" s="13">
        <v>8490</v>
      </c>
      <c r="M368" s="13">
        <v>7893</v>
      </c>
      <c r="N368" s="13">
        <v>182</v>
      </c>
      <c r="O368" s="15"/>
      <c r="P368" s="6">
        <v>39832.000868055555</v>
      </c>
      <c r="Q368" s="16" t="s">
        <v>109</v>
      </c>
      <c r="R368" s="17" t="s">
        <v>1443</v>
      </c>
      <c r="S368" s="11" t="s">
        <v>1444</v>
      </c>
      <c r="T368" s="12"/>
      <c r="U368" s="10" t="str">
        <f>HYPERLINK("https://pbs.twimg.com/profile_images/1047032897515991043/zzGkNeyX.jpg","View")</f>
        <v>View</v>
      </c>
    </row>
    <row r="369" spans="1:21" ht="51">
      <c r="A369" s="6">
        <v>43440.957199074073</v>
      </c>
      <c r="B369" s="7" t="str">
        <f>HYPERLINK("https://twitter.com/AsensioSegura","@AsensioSegura")</f>
        <v>@AsensioSegura</v>
      </c>
      <c r="C369" s="8" t="s">
        <v>1445</v>
      </c>
      <c r="D369" s="9" t="s">
        <v>1446</v>
      </c>
      <c r="E369" s="10" t="str">
        <f>HYPERLINK("https://twitter.com/AsensioSegura/status/1070799634753310722","1070799634753310722")</f>
        <v>1070799634753310722</v>
      </c>
      <c r="F369" s="12"/>
      <c r="G369" s="12"/>
      <c r="H369" s="12"/>
      <c r="I369" s="13">
        <v>0</v>
      </c>
      <c r="J369" s="13">
        <v>0</v>
      </c>
      <c r="K369" s="14" t="str">
        <f>HYPERLINK("http://twitter.com/download/android","Twitter for Android")</f>
        <v>Twitter for Android</v>
      </c>
      <c r="L369" s="13">
        <v>20</v>
      </c>
      <c r="M369" s="13">
        <v>33</v>
      </c>
      <c r="N369" s="13">
        <v>0</v>
      </c>
      <c r="O369" s="15"/>
      <c r="P369" s="6">
        <v>43233.931574074071</v>
      </c>
      <c r="Q369" s="12"/>
      <c r="R369" s="20"/>
      <c r="S369" s="12"/>
      <c r="T369" s="12"/>
      <c r="U369" s="19" t="s">
        <v>359</v>
      </c>
    </row>
    <row r="370" spans="1:21" ht="61.2">
      <c r="A370" s="6">
        <v>43440.957141203704</v>
      </c>
      <c r="B370" s="7" t="str">
        <f>HYPERLINK("https://twitter.com/begiakirekiz","@begiakirekiz")</f>
        <v>@begiakirekiz</v>
      </c>
      <c r="C370" s="8" t="s">
        <v>1447</v>
      </c>
      <c r="D370" s="9" t="s">
        <v>1448</v>
      </c>
      <c r="E370" s="10" t="str">
        <f>HYPERLINK("https://twitter.com/begiakirekiz/status/1070799614591361024","1070799614591361024")</f>
        <v>1070799614591361024</v>
      </c>
      <c r="F370" s="11" t="s">
        <v>1449</v>
      </c>
      <c r="G370" s="11" t="s">
        <v>1375</v>
      </c>
      <c r="H370" s="12"/>
      <c r="I370" s="13">
        <v>0</v>
      </c>
      <c r="J370" s="13">
        <v>6</v>
      </c>
      <c r="K370" s="14" t="str">
        <f>HYPERLINK("http://twitter.com","Twitter Web Client")</f>
        <v>Twitter Web Client</v>
      </c>
      <c r="L370" s="13">
        <v>3130</v>
      </c>
      <c r="M370" s="13">
        <v>241</v>
      </c>
      <c r="N370" s="13">
        <v>43</v>
      </c>
      <c r="O370" s="15"/>
      <c r="P370" s="6">
        <v>41318.951365740737</v>
      </c>
      <c r="Q370" s="16" t="s">
        <v>1450</v>
      </c>
      <c r="R370" s="17" t="s">
        <v>1451</v>
      </c>
      <c r="S370" s="12"/>
      <c r="T370" s="12"/>
      <c r="U370" s="10" t="str">
        <f>HYPERLINK("https://pbs.twimg.com/profile_images/1057956676849025024/EH5bsX6U.jpg","View")</f>
        <v>View</v>
      </c>
    </row>
    <row r="371" spans="1:21" ht="40.799999999999997">
      <c r="A371" s="6">
        <v>43440.952731481477</v>
      </c>
      <c r="B371" s="7" t="str">
        <f>HYPERLINK("https://twitter.com/martatrepat1","@martatrepat1")</f>
        <v>@martatrepat1</v>
      </c>
      <c r="C371" s="8" t="s">
        <v>1452</v>
      </c>
      <c r="D371" s="9" t="s">
        <v>1453</v>
      </c>
      <c r="E371" s="10" t="str">
        <f>HYPERLINK("https://twitter.com/martatrepat1/status/1070798015470993408","1070798015470993408")</f>
        <v>1070798015470993408</v>
      </c>
      <c r="F371" s="11" t="s">
        <v>1454</v>
      </c>
      <c r="G371" s="12"/>
      <c r="H371" s="12"/>
      <c r="I371" s="13">
        <v>0</v>
      </c>
      <c r="J371" s="13">
        <v>1</v>
      </c>
      <c r="K371" s="14" t="str">
        <f>HYPERLINK("http://twitter.com/download/android","Twitter for Android")</f>
        <v>Twitter for Android</v>
      </c>
      <c r="L371" s="13">
        <v>934</v>
      </c>
      <c r="M371" s="13">
        <v>821</v>
      </c>
      <c r="N371" s="13">
        <v>2</v>
      </c>
      <c r="O371" s="15"/>
      <c r="P371" s="6">
        <v>41238.866909722223</v>
      </c>
      <c r="Q371" s="16" t="s">
        <v>1455</v>
      </c>
      <c r="R371" s="17" t="s">
        <v>1456</v>
      </c>
      <c r="S371" s="12"/>
      <c r="T371" s="12"/>
      <c r="U371" s="10" t="str">
        <f>HYPERLINK("https://pbs.twimg.com/profile_images/999649378699640832/uAxD-MYs.jpg","View")</f>
        <v>View</v>
      </c>
    </row>
    <row r="372" spans="1:21" ht="30.6">
      <c r="A372" s="6">
        <v>43440.951319444444</v>
      </c>
      <c r="B372" s="7" t="str">
        <f>HYPERLINK("https://twitter.com/Dama_Cristal","@Dama_Cristal")</f>
        <v>@Dama_Cristal</v>
      </c>
      <c r="C372" s="8" t="s">
        <v>1457</v>
      </c>
      <c r="D372" s="9" t="s">
        <v>1458</v>
      </c>
      <c r="E372" s="10" t="str">
        <f>HYPERLINK("https://twitter.com/Dama_Cristal/status/1070797505238048768","1070797505238048768")</f>
        <v>1070797505238048768</v>
      </c>
      <c r="F372" s="11" t="s">
        <v>1129</v>
      </c>
      <c r="G372" s="12"/>
      <c r="H372" s="12"/>
      <c r="I372" s="13">
        <v>0</v>
      </c>
      <c r="J372" s="13">
        <v>0</v>
      </c>
      <c r="K372" s="14" t="str">
        <f t="shared" ref="K372:K375" si="72">HYPERLINK("http://twitter.com","Twitter Web Client")</f>
        <v>Twitter Web Client</v>
      </c>
      <c r="L372" s="13">
        <v>3981</v>
      </c>
      <c r="M372" s="13">
        <v>1146</v>
      </c>
      <c r="N372" s="13">
        <v>115</v>
      </c>
      <c r="O372" s="15"/>
      <c r="P372" s="6">
        <v>40055.963437500002</v>
      </c>
      <c r="Q372" s="16" t="s">
        <v>1351</v>
      </c>
      <c r="R372" s="17" t="s">
        <v>1459</v>
      </c>
      <c r="S372" s="11" t="s">
        <v>1460</v>
      </c>
      <c r="T372" s="12"/>
      <c r="U372" s="10" t="str">
        <f>HYPERLINK("https://pbs.twimg.com/profile_images/1063871379488063489/2qf35eY7.jpg","View")</f>
        <v>View</v>
      </c>
    </row>
    <row r="373" spans="1:21" ht="40.799999999999997">
      <c r="A373" s="6">
        <v>43440.950462962966</v>
      </c>
      <c r="B373" s="7" t="str">
        <f t="shared" ref="B373:B374" si="73">HYPERLINK("https://twitter.com/jofelices","@jofelices")</f>
        <v>@jofelices</v>
      </c>
      <c r="C373" s="8" t="s">
        <v>340</v>
      </c>
      <c r="D373" s="9" t="s">
        <v>1461</v>
      </c>
      <c r="E373" s="10" t="str">
        <f>HYPERLINK("https://twitter.com/jofelices/status/1070797197338439681","1070797197338439681")</f>
        <v>1070797197338439681</v>
      </c>
      <c r="F373" s="12"/>
      <c r="G373" s="12"/>
      <c r="H373" s="12"/>
      <c r="I373" s="13">
        <v>1</v>
      </c>
      <c r="J373" s="13">
        <v>2</v>
      </c>
      <c r="K373" s="14" t="str">
        <f t="shared" si="72"/>
        <v>Twitter Web Client</v>
      </c>
      <c r="L373" s="13">
        <v>5404</v>
      </c>
      <c r="M373" s="13">
        <v>4614</v>
      </c>
      <c r="N373" s="13">
        <v>40</v>
      </c>
      <c r="O373" s="15"/>
      <c r="P373" s="6">
        <v>40921.689618055556</v>
      </c>
      <c r="Q373" s="12"/>
      <c r="R373" s="17" t="s">
        <v>342</v>
      </c>
      <c r="S373" s="12"/>
      <c r="T373" s="12"/>
      <c r="U373" s="10" t="str">
        <f t="shared" ref="U373:U374" si="74">HYPERLINK("https://pbs.twimg.com/profile_images/752932307821006848/C79eevA0.jpg","View")</f>
        <v>View</v>
      </c>
    </row>
    <row r="374" spans="1:21" ht="30.6">
      <c r="A374" s="6">
        <v>43440.948483796295</v>
      </c>
      <c r="B374" s="7" t="str">
        <f t="shared" si="73"/>
        <v>@jofelices</v>
      </c>
      <c r="C374" s="8" t="s">
        <v>340</v>
      </c>
      <c r="D374" s="9" t="s">
        <v>1462</v>
      </c>
      <c r="E374" s="10" t="str">
        <f>HYPERLINK("https://twitter.com/jofelices/status/1070796480015937536","1070796480015937536")</f>
        <v>1070796480015937536</v>
      </c>
      <c r="F374" s="12"/>
      <c r="G374" s="12"/>
      <c r="H374" s="12"/>
      <c r="I374" s="13">
        <v>1</v>
      </c>
      <c r="J374" s="13">
        <v>0</v>
      </c>
      <c r="K374" s="14" t="str">
        <f t="shared" si="72"/>
        <v>Twitter Web Client</v>
      </c>
      <c r="L374" s="13">
        <v>5404</v>
      </c>
      <c r="M374" s="13">
        <v>4614</v>
      </c>
      <c r="N374" s="13">
        <v>40</v>
      </c>
      <c r="O374" s="15"/>
      <c r="P374" s="6">
        <v>40921.689618055556</v>
      </c>
      <c r="Q374" s="12"/>
      <c r="R374" s="17" t="s">
        <v>342</v>
      </c>
      <c r="S374" s="12"/>
      <c r="T374" s="12"/>
      <c r="U374" s="10" t="str">
        <f t="shared" si="74"/>
        <v>View</v>
      </c>
    </row>
    <row r="375" spans="1:21" ht="30.6">
      <c r="A375" s="6">
        <v>43440.946516203709</v>
      </c>
      <c r="B375" s="7" t="str">
        <f>HYPERLINK("https://twitter.com/RusoAzul","@RusoAzul")</f>
        <v>@RusoAzul</v>
      </c>
      <c r="C375" s="8" t="s">
        <v>1464</v>
      </c>
      <c r="D375" s="9" t="s">
        <v>1465</v>
      </c>
      <c r="E375" s="10" t="str">
        <f>HYPERLINK("https://twitter.com/RusoAzul/status/1070795766891986944","1070795766891986944")</f>
        <v>1070795766891986944</v>
      </c>
      <c r="F375" s="11" t="s">
        <v>1466</v>
      </c>
      <c r="G375" s="12"/>
      <c r="H375" s="12"/>
      <c r="I375" s="13">
        <v>0</v>
      </c>
      <c r="J375" s="13">
        <v>0</v>
      </c>
      <c r="K375" s="14" t="str">
        <f t="shared" si="72"/>
        <v>Twitter Web Client</v>
      </c>
      <c r="L375" s="13">
        <v>4038</v>
      </c>
      <c r="M375" s="13">
        <v>1993</v>
      </c>
      <c r="N375" s="13">
        <v>188</v>
      </c>
      <c r="O375" s="15"/>
      <c r="P375" s="6">
        <v>40732.961851851855</v>
      </c>
      <c r="Q375" s="16" t="s">
        <v>1467</v>
      </c>
      <c r="R375" s="17" t="s">
        <v>1468</v>
      </c>
      <c r="S375" s="12"/>
      <c r="T375" s="12"/>
      <c r="U375" s="10" t="str">
        <f>HYPERLINK("https://pbs.twimg.com/profile_images/1068935989081636867/BYbiYUXk.jpg","View")</f>
        <v>View</v>
      </c>
    </row>
    <row r="376" spans="1:21" ht="30.6">
      <c r="A376" s="6">
        <v>43440.946180555555</v>
      </c>
      <c r="B376" s="7" t="str">
        <f>HYPERLINK("https://twitter.com/CurritoRojo","@CurritoRojo")</f>
        <v>@CurritoRojo</v>
      </c>
      <c r="C376" s="8" t="s">
        <v>1469</v>
      </c>
      <c r="D376" s="9" t="s">
        <v>1209</v>
      </c>
      <c r="E376" s="10" t="str">
        <f>HYPERLINK("https://twitter.com/CurritoRojo/status/1070795643352952832","1070795643352952832")</f>
        <v>1070795643352952832</v>
      </c>
      <c r="F376" s="11" t="s">
        <v>141</v>
      </c>
      <c r="G376" s="12"/>
      <c r="H376" s="12"/>
      <c r="I376" s="13">
        <v>5</v>
      </c>
      <c r="J376" s="13">
        <v>2</v>
      </c>
      <c r="K376" s="14" t="str">
        <f>HYPERLINK("http://twitter.com/download/android","Twitter for Android")</f>
        <v>Twitter for Android</v>
      </c>
      <c r="L376" s="13">
        <v>4032</v>
      </c>
      <c r="M376" s="13">
        <v>4971</v>
      </c>
      <c r="N376" s="13">
        <v>86</v>
      </c>
      <c r="O376" s="15"/>
      <c r="P376" s="6">
        <v>41331.632384259261</v>
      </c>
      <c r="Q376" s="12"/>
      <c r="R376" s="17" t="s">
        <v>1470</v>
      </c>
      <c r="S376" s="12"/>
      <c r="T376" s="12"/>
      <c r="U376" s="10" t="str">
        <f>HYPERLINK("https://pbs.twimg.com/profile_images/3310913362/6ca9ef37c10309b1e1c00676ff6430e0.jpeg","View")</f>
        <v>View</v>
      </c>
    </row>
    <row r="377" spans="1:21" ht="20.399999999999999">
      <c r="A377" s="6">
        <v>43440.944062499999</v>
      </c>
      <c r="B377" s="7" t="str">
        <f>HYPERLINK("https://twitter.com/vicentrompa","@vicentrompa")</f>
        <v>@vicentrompa</v>
      </c>
      <c r="C377" s="8" t="s">
        <v>1471</v>
      </c>
      <c r="D377" s="9" t="s">
        <v>1472</v>
      </c>
      <c r="E377" s="10" t="str">
        <f>HYPERLINK("https://twitter.com/vicentrompa/status/1070794875744985090","1070794875744985090")</f>
        <v>1070794875744985090</v>
      </c>
      <c r="F377" s="11" t="s">
        <v>1176</v>
      </c>
      <c r="G377" s="12"/>
      <c r="H377" s="12"/>
      <c r="I377" s="13">
        <v>0</v>
      </c>
      <c r="J377" s="13">
        <v>0</v>
      </c>
      <c r="K377" s="14" t="str">
        <f>HYPERLINK("http://twitter.com","Twitter Web Client")</f>
        <v>Twitter Web Client</v>
      </c>
      <c r="L377" s="13">
        <v>426</v>
      </c>
      <c r="M377" s="13">
        <v>765</v>
      </c>
      <c r="N377" s="13">
        <v>4</v>
      </c>
      <c r="O377" s="15"/>
      <c r="P377" s="6">
        <v>40723.48673611111</v>
      </c>
      <c r="Q377" s="12"/>
      <c r="R377" s="17" t="s">
        <v>1473</v>
      </c>
      <c r="S377" s="11" t="s">
        <v>1474</v>
      </c>
      <c r="T377" s="12"/>
      <c r="U377" s="10" t="str">
        <f>HYPERLINK("https://pbs.twimg.com/profile_images/1054095113910214663/OD2KZ45L.jpg","View")</f>
        <v>View</v>
      </c>
    </row>
    <row r="378" spans="1:21" ht="30.6">
      <c r="A378" s="6">
        <v>43440.943287037036</v>
      </c>
      <c r="B378" s="7" t="str">
        <f>HYPERLINK("https://twitter.com/InformeFrontera","@InformeFrontera")</f>
        <v>@InformeFrontera</v>
      </c>
      <c r="C378" s="8" t="s">
        <v>1475</v>
      </c>
      <c r="D378" s="9" t="s">
        <v>1155</v>
      </c>
      <c r="E378" s="10" t="str">
        <f>HYPERLINK("https://twitter.com/InformeFrontera/status/1070794595045392389","1070794595045392389")</f>
        <v>1070794595045392389</v>
      </c>
      <c r="F378" s="11" t="s">
        <v>1476</v>
      </c>
      <c r="G378" s="12"/>
      <c r="H378" s="12"/>
      <c r="I378" s="13">
        <v>0</v>
      </c>
      <c r="J378" s="13">
        <v>0</v>
      </c>
      <c r="K378" s="14" t="str">
        <f>HYPERLINK("https://ifttt.com","IFTTT")</f>
        <v>IFTTT</v>
      </c>
      <c r="L378" s="13">
        <v>363</v>
      </c>
      <c r="M378" s="13">
        <v>1181</v>
      </c>
      <c r="N378" s="13">
        <v>11</v>
      </c>
      <c r="O378" s="15"/>
      <c r="P378" s="6">
        <v>40694.801759259259</v>
      </c>
      <c r="Q378" s="16" t="s">
        <v>48</v>
      </c>
      <c r="R378" s="17" t="s">
        <v>1477</v>
      </c>
      <c r="S378" s="11" t="s">
        <v>1478</v>
      </c>
      <c r="T378" s="12"/>
      <c r="U378" s="10" t="str">
        <f>HYPERLINK("https://pbs.twimg.com/profile_images/920324605755215874/HfEuS2ye.jpg","View")</f>
        <v>View</v>
      </c>
    </row>
    <row r="379" spans="1:21" ht="30.6">
      <c r="A379" s="6">
        <v>43440.942025462966</v>
      </c>
      <c r="B379" s="7" t="str">
        <f>HYPERLINK("https://twitter.com/MarianDanubio","@MarianDanubio")</f>
        <v>@MarianDanubio</v>
      </c>
      <c r="C379" s="8" t="s">
        <v>1479</v>
      </c>
      <c r="D379" s="9" t="s">
        <v>1480</v>
      </c>
      <c r="E379" s="10" t="str">
        <f>HYPERLINK("https://twitter.com/MarianDanubio/status/1070794137853669377","1070794137853669377")</f>
        <v>1070794137853669377</v>
      </c>
      <c r="F379" s="11" t="s">
        <v>1215</v>
      </c>
      <c r="G379" s="12"/>
      <c r="H379" s="12"/>
      <c r="I379" s="13">
        <v>0</v>
      </c>
      <c r="J379" s="13">
        <v>0</v>
      </c>
      <c r="K379" s="14" t="str">
        <f>HYPERLINK("http://twitter.com","Twitter Web Client")</f>
        <v>Twitter Web Client</v>
      </c>
      <c r="L379" s="13">
        <v>886</v>
      </c>
      <c r="M379" s="13">
        <v>837</v>
      </c>
      <c r="N379" s="13">
        <v>16</v>
      </c>
      <c r="O379" s="15"/>
      <c r="P379" s="6">
        <v>41541.831990740742</v>
      </c>
      <c r="Q379" s="16" t="s">
        <v>854</v>
      </c>
      <c r="R379" s="17" t="s">
        <v>1481</v>
      </c>
      <c r="S379" s="12"/>
      <c r="T379" s="12"/>
      <c r="U379" s="10" t="str">
        <f>HYPERLINK("https://pbs.twimg.com/profile_images/810197289797058563/TGEyOi-n.jpg","View")</f>
        <v>View</v>
      </c>
    </row>
    <row r="380" spans="1:21" ht="30.6">
      <c r="A380" s="6">
        <v>43440.938912037032</v>
      </c>
      <c r="B380" s="7" t="str">
        <f>HYPERLINK("https://twitter.com/Mabuni1903","@Mabuni1903")</f>
        <v>@Mabuni1903</v>
      </c>
      <c r="C380" s="8" t="s">
        <v>1482</v>
      </c>
      <c r="D380" s="9" t="s">
        <v>1483</v>
      </c>
      <c r="E380" s="10" t="str">
        <f>HYPERLINK("https://twitter.com/Mabuni1903/status/1070793009304928257","1070793009304928257")</f>
        <v>1070793009304928257</v>
      </c>
      <c r="F380" s="12"/>
      <c r="G380" s="12"/>
      <c r="H380" s="12"/>
      <c r="I380" s="13">
        <v>0</v>
      </c>
      <c r="J380" s="13">
        <v>0</v>
      </c>
      <c r="K380" s="14" t="str">
        <f>HYPERLINK("http://twitter.com/download/android","Twitter for Android")</f>
        <v>Twitter for Android</v>
      </c>
      <c r="L380" s="13">
        <v>69</v>
      </c>
      <c r="M380" s="13">
        <v>139</v>
      </c>
      <c r="N380" s="13">
        <v>1</v>
      </c>
      <c r="O380" s="15"/>
      <c r="P380" s="6">
        <v>41008.898252314815</v>
      </c>
      <c r="Q380" s="12"/>
      <c r="R380" s="17" t="s">
        <v>1484</v>
      </c>
      <c r="S380" s="12"/>
      <c r="T380" s="12"/>
      <c r="U380" s="10" t="str">
        <f>HYPERLINK("https://pbs.twimg.com/profile_images/881137992026517504/zKh84COF.jpg","View")</f>
        <v>View</v>
      </c>
    </row>
    <row r="381" spans="1:21" ht="30.6">
      <c r="A381" s="6">
        <v>43440.933020833334</v>
      </c>
      <c r="B381" s="7" t="str">
        <f>HYPERLINK("https://twitter.com/camreivindica","@camreivindica")</f>
        <v>@camreivindica</v>
      </c>
      <c r="C381" s="8" t="s">
        <v>1485</v>
      </c>
      <c r="D381" s="9" t="s">
        <v>1209</v>
      </c>
      <c r="E381" s="10" t="str">
        <f>HYPERLINK("https://twitter.com/camreivindica/status/1070790875645648896","1070790875645648896")</f>
        <v>1070790875645648896</v>
      </c>
      <c r="F381" s="11" t="s">
        <v>621</v>
      </c>
      <c r="G381" s="12"/>
      <c r="H381" s="12"/>
      <c r="I381" s="13">
        <v>0</v>
      </c>
      <c r="J381" s="13">
        <v>0</v>
      </c>
      <c r="K381" s="14" t="str">
        <f t="shared" ref="K381:K383" si="75">HYPERLINK("http://twitter.com","Twitter Web Client")</f>
        <v>Twitter Web Client</v>
      </c>
      <c r="L381" s="13">
        <v>996</v>
      </c>
      <c r="M381" s="13">
        <v>972</v>
      </c>
      <c r="N381" s="13">
        <v>18</v>
      </c>
      <c r="O381" s="15"/>
      <c r="P381" s="6">
        <v>41276.734953703708</v>
      </c>
      <c r="Q381" s="16" t="s">
        <v>191</v>
      </c>
      <c r="R381" s="17" t="s">
        <v>1486</v>
      </c>
      <c r="S381" s="11" t="s">
        <v>1487</v>
      </c>
      <c r="T381" s="12"/>
      <c r="U381" s="10" t="str">
        <f>HYPERLINK("https://pbs.twimg.com/profile_images/378800000144170954/26b221b2ce63aff50cddb0c09da99d77.jpeg","View")</f>
        <v>View</v>
      </c>
    </row>
    <row r="382" spans="1:21" ht="30.6">
      <c r="A382" s="6">
        <v>43440.931562500002</v>
      </c>
      <c r="B382" s="7" t="str">
        <f t="shared" ref="B382:B383" si="76">HYPERLINK("https://twitter.com/OBoriba","@OBoriba")</f>
        <v>@OBoriba</v>
      </c>
      <c r="C382" s="8" t="s">
        <v>1488</v>
      </c>
      <c r="D382" s="9" t="s">
        <v>1209</v>
      </c>
      <c r="E382" s="10" t="str">
        <f>HYPERLINK("https://twitter.com/OBoriba/status/1070790347012390913","1070790347012390913")</f>
        <v>1070790347012390913</v>
      </c>
      <c r="F382" s="11" t="s">
        <v>621</v>
      </c>
      <c r="G382" s="12"/>
      <c r="H382" s="12"/>
      <c r="I382" s="13">
        <v>0</v>
      </c>
      <c r="J382" s="13">
        <v>0</v>
      </c>
      <c r="K382" s="14" t="str">
        <f t="shared" si="75"/>
        <v>Twitter Web Client</v>
      </c>
      <c r="L382" s="13">
        <v>706</v>
      </c>
      <c r="M382" s="13">
        <v>1528</v>
      </c>
      <c r="N382" s="13">
        <v>9</v>
      </c>
      <c r="O382" s="15"/>
      <c r="P382" s="6">
        <v>42151.558587962965</v>
      </c>
      <c r="Q382" s="12"/>
      <c r="R382" s="20"/>
      <c r="S382" s="12"/>
      <c r="T382" s="12"/>
      <c r="U382" s="10" t="str">
        <f t="shared" ref="U382:U383" si="77">HYPERLINK("https://pbs.twimg.com/profile_images/603523065679585281/WGp7n5ld.jpg","View")</f>
        <v>View</v>
      </c>
    </row>
    <row r="383" spans="1:21" ht="30.6">
      <c r="A383" s="6">
        <v>43440.931099537032</v>
      </c>
      <c r="B383" s="7" t="str">
        <f t="shared" si="76"/>
        <v>@OBoriba</v>
      </c>
      <c r="C383" s="8" t="s">
        <v>1488</v>
      </c>
      <c r="D383" s="9" t="s">
        <v>1364</v>
      </c>
      <c r="E383" s="10" t="str">
        <f>HYPERLINK("https://twitter.com/OBoriba/status/1070790178929819649","1070790178929819649")</f>
        <v>1070790178929819649</v>
      </c>
      <c r="F383" s="11" t="s">
        <v>1421</v>
      </c>
      <c r="G383" s="12"/>
      <c r="H383" s="12"/>
      <c r="I383" s="13">
        <v>0</v>
      </c>
      <c r="J383" s="13">
        <v>0</v>
      </c>
      <c r="K383" s="14" t="str">
        <f t="shared" si="75"/>
        <v>Twitter Web Client</v>
      </c>
      <c r="L383" s="13">
        <v>706</v>
      </c>
      <c r="M383" s="13">
        <v>1528</v>
      </c>
      <c r="N383" s="13">
        <v>9</v>
      </c>
      <c r="O383" s="15"/>
      <c r="P383" s="6">
        <v>42151.558587962965</v>
      </c>
      <c r="Q383" s="12"/>
      <c r="R383" s="20"/>
      <c r="S383" s="12"/>
      <c r="T383" s="12"/>
      <c r="U383" s="10" t="str">
        <f t="shared" si="77"/>
        <v>View</v>
      </c>
    </row>
    <row r="384" spans="1:21" ht="40.799999999999997">
      <c r="A384" s="6">
        <v>43440.930856481486</v>
      </c>
      <c r="B384" s="7" t="str">
        <f>HYPERLINK("https://twitter.com/ArnaldoOtegi","@ArnaldoOtegi")</f>
        <v>@ArnaldoOtegi</v>
      </c>
      <c r="C384" s="8" t="s">
        <v>1489</v>
      </c>
      <c r="D384" s="9" t="s">
        <v>1490</v>
      </c>
      <c r="E384" s="10" t="str">
        <f>HYPERLINK("https://twitter.com/ArnaldoOtegi/status/1070790091323383814","1070790091323383814")</f>
        <v>1070790091323383814</v>
      </c>
      <c r="F384" s="12"/>
      <c r="G384" s="11" t="s">
        <v>1375</v>
      </c>
      <c r="H384" s="12"/>
      <c r="I384" s="13">
        <v>2502</v>
      </c>
      <c r="J384" s="13">
        <v>6600</v>
      </c>
      <c r="K384" s="14" t="str">
        <f>HYPERLINK("http://twitter.com/download/iphone","Twitter for iPhone")</f>
        <v>Twitter for iPhone</v>
      </c>
      <c r="L384" s="13">
        <v>117064</v>
      </c>
      <c r="M384" s="13">
        <v>396</v>
      </c>
      <c r="N384" s="13">
        <v>826</v>
      </c>
      <c r="O384" s="19" t="s">
        <v>44</v>
      </c>
      <c r="P384" s="6">
        <v>40249.622291666667</v>
      </c>
      <c r="Q384" s="16" t="s">
        <v>1491</v>
      </c>
      <c r="R384" s="17" t="s">
        <v>1492</v>
      </c>
      <c r="S384" s="11" t="s">
        <v>1493</v>
      </c>
      <c r="T384" s="12"/>
      <c r="U384" s="10" t="str">
        <f>HYPERLINK("https://pbs.twimg.com/profile_images/1070787018219798529/zPXREX3N.jpg","View")</f>
        <v>View</v>
      </c>
    </row>
    <row r="385" spans="1:21" ht="40.799999999999997">
      <c r="A385" s="6">
        <v>43440.926990740743</v>
      </c>
      <c r="B385" s="7" t="str">
        <f>HYPERLINK("https://twitter.com/JessJim97874304","@JessJim97874304")</f>
        <v>@JessJim97874304</v>
      </c>
      <c r="C385" s="8" t="s">
        <v>1494</v>
      </c>
      <c r="D385" s="9" t="s">
        <v>1495</v>
      </c>
      <c r="E385" s="10" t="str">
        <f>HYPERLINK("https://twitter.com/JessJim97874304/status/1070788688374829056","1070788688374829056")</f>
        <v>1070788688374829056</v>
      </c>
      <c r="F385" s="11" t="s">
        <v>1344</v>
      </c>
      <c r="G385" s="12"/>
      <c r="H385" s="12"/>
      <c r="I385" s="13">
        <v>0</v>
      </c>
      <c r="J385" s="13">
        <v>0</v>
      </c>
      <c r="K385" s="14" t="str">
        <f t="shared" ref="K385:K387" si="78">HYPERLINK("http://twitter.com/download/android","Twitter for Android")</f>
        <v>Twitter for Android</v>
      </c>
      <c r="L385" s="13">
        <v>94</v>
      </c>
      <c r="M385" s="13">
        <v>271</v>
      </c>
      <c r="N385" s="13">
        <v>2</v>
      </c>
      <c r="O385" s="15"/>
      <c r="P385" s="6">
        <v>42382.824212962965</v>
      </c>
      <c r="Q385" s="12"/>
      <c r="R385" s="20"/>
      <c r="S385" s="12"/>
      <c r="T385" s="12"/>
      <c r="U385" s="10" t="str">
        <f>HYPERLINK("https://pbs.twimg.com/profile_images/881841728696836097/D21xUwT0.jpg","View")</f>
        <v>View</v>
      </c>
    </row>
    <row r="386" spans="1:21" ht="102">
      <c r="A386" s="6">
        <v>43440.923032407409</v>
      </c>
      <c r="B386" s="7" t="str">
        <f>HYPERLINK("https://twitter.com/Nando1165","@Nando1165")</f>
        <v>@Nando1165</v>
      </c>
      <c r="C386" s="8" t="s">
        <v>1496</v>
      </c>
      <c r="D386" s="9" t="s">
        <v>1497</v>
      </c>
      <c r="E386" s="10" t="str">
        <f>HYPERLINK("https://twitter.com/Nando1165/status/1070787256896634887","1070787256896634887")</f>
        <v>1070787256896634887</v>
      </c>
      <c r="F386" s="11" t="s">
        <v>1498</v>
      </c>
      <c r="G386" s="11" t="s">
        <v>1499</v>
      </c>
      <c r="H386" s="12"/>
      <c r="I386" s="13">
        <v>0</v>
      </c>
      <c r="J386" s="13">
        <v>0</v>
      </c>
      <c r="K386" s="14" t="str">
        <f t="shared" si="78"/>
        <v>Twitter for Android</v>
      </c>
      <c r="L386" s="13">
        <v>447</v>
      </c>
      <c r="M386" s="13">
        <v>335</v>
      </c>
      <c r="N386" s="13">
        <v>3</v>
      </c>
      <c r="O386" s="15"/>
      <c r="P386" s="6">
        <v>41495.622685185182</v>
      </c>
      <c r="Q386" s="16" t="s">
        <v>1500</v>
      </c>
      <c r="R386" s="17" t="s">
        <v>1501</v>
      </c>
      <c r="S386" s="12"/>
      <c r="T386" s="12"/>
      <c r="U386" s="10" t="str">
        <f>HYPERLINK("https://pbs.twimg.com/profile_images/779954861542666240/fnCGC2YL.jpg","View")</f>
        <v>View</v>
      </c>
    </row>
    <row r="387" spans="1:21" ht="40.799999999999997">
      <c r="A387" s="6">
        <v>43440.922905092593</v>
      </c>
      <c r="B387" s="7" t="str">
        <f>HYPERLINK("https://twitter.com/srdsan","@srdsan")</f>
        <v>@srdsan</v>
      </c>
      <c r="C387" s="8" t="s">
        <v>1502</v>
      </c>
      <c r="D387" s="9" t="s">
        <v>1503</v>
      </c>
      <c r="E387" s="10" t="str">
        <f>HYPERLINK("https://twitter.com/srdsan/status/1070787209089966081","1070787209089966081")</f>
        <v>1070787209089966081</v>
      </c>
      <c r="F387" s="11" t="s">
        <v>1504</v>
      </c>
      <c r="G387" s="12"/>
      <c r="H387" s="12"/>
      <c r="I387" s="13">
        <v>0</v>
      </c>
      <c r="J387" s="13">
        <v>0</v>
      </c>
      <c r="K387" s="14" t="str">
        <f t="shared" si="78"/>
        <v>Twitter for Android</v>
      </c>
      <c r="L387" s="13">
        <v>3745</v>
      </c>
      <c r="M387" s="13">
        <v>3805</v>
      </c>
      <c r="N387" s="13">
        <v>60</v>
      </c>
      <c r="O387" s="15"/>
      <c r="P387" s="6">
        <v>40561.520833333336</v>
      </c>
      <c r="Q387" s="16" t="s">
        <v>1455</v>
      </c>
      <c r="R387" s="17" t="s">
        <v>1505</v>
      </c>
      <c r="S387" s="12"/>
      <c r="T387" s="12"/>
      <c r="U387" s="10" t="str">
        <f>HYPERLINK("https://pbs.twimg.com/profile_images/1017524065073029126/IP8J5oHJ.jpg","View")</f>
        <v>View</v>
      </c>
    </row>
    <row r="388" spans="1:21" ht="20.399999999999999">
      <c r="A388" s="6">
        <v>43440.920972222222</v>
      </c>
      <c r="B388" s="7" t="str">
        <f t="shared" ref="B388:B389" si="79">HYPERLINK("https://twitter.com/teresadepeche","@teresadepeche")</f>
        <v>@teresadepeche</v>
      </c>
      <c r="C388" s="8" t="s">
        <v>1506</v>
      </c>
      <c r="D388" s="9" t="s">
        <v>1507</v>
      </c>
      <c r="E388" s="10" t="str">
        <f>HYPERLINK("https://twitter.com/teresadepeche/status/1070786510021111809","1070786510021111809")</f>
        <v>1070786510021111809</v>
      </c>
      <c r="F388" s="12"/>
      <c r="G388" s="11" t="s">
        <v>1508</v>
      </c>
      <c r="H388" s="12"/>
      <c r="I388" s="13">
        <v>0</v>
      </c>
      <c r="J388" s="13">
        <v>0</v>
      </c>
      <c r="K388" s="14" t="str">
        <f t="shared" ref="K388:K389" si="80">HYPERLINK("http://twitter.com/download/iphone","Twitter for iPhone")</f>
        <v>Twitter for iPhone</v>
      </c>
      <c r="L388" s="13">
        <v>286</v>
      </c>
      <c r="M388" s="13">
        <v>358</v>
      </c>
      <c r="N388" s="13">
        <v>3</v>
      </c>
      <c r="O388" s="15"/>
      <c r="P388" s="6">
        <v>41698.390763888892</v>
      </c>
      <c r="Q388" s="12"/>
      <c r="R388" s="17" t="s">
        <v>1509</v>
      </c>
      <c r="S388" s="12"/>
      <c r="T388" s="12"/>
      <c r="U388" s="10" t="str">
        <f t="shared" ref="U388:U389" si="81">HYPERLINK("https://pbs.twimg.com/profile_images/439315795932610560/no00ElBD.jpeg","View")</f>
        <v>View</v>
      </c>
    </row>
    <row r="389" spans="1:21" ht="40.799999999999997">
      <c r="A389" s="6">
        <v>43440.919687500005</v>
      </c>
      <c r="B389" s="7" t="str">
        <f t="shared" si="79"/>
        <v>@teresadepeche</v>
      </c>
      <c r="C389" s="8" t="s">
        <v>1506</v>
      </c>
      <c r="D389" s="9" t="s">
        <v>1510</v>
      </c>
      <c r="E389" s="10" t="str">
        <f>HYPERLINK("https://twitter.com/teresadepeche/status/1070786043484532737","1070786043484532737")</f>
        <v>1070786043484532737</v>
      </c>
      <c r="F389" s="11" t="s">
        <v>1511</v>
      </c>
      <c r="G389" s="12"/>
      <c r="H389" s="12"/>
      <c r="I389" s="13">
        <v>0</v>
      </c>
      <c r="J389" s="13">
        <v>0</v>
      </c>
      <c r="K389" s="14" t="str">
        <f t="shared" si="80"/>
        <v>Twitter for iPhone</v>
      </c>
      <c r="L389" s="13">
        <v>286</v>
      </c>
      <c r="M389" s="13">
        <v>358</v>
      </c>
      <c r="N389" s="13">
        <v>3</v>
      </c>
      <c r="O389" s="15"/>
      <c r="P389" s="6">
        <v>41698.390763888892</v>
      </c>
      <c r="Q389" s="12"/>
      <c r="R389" s="17" t="s">
        <v>1509</v>
      </c>
      <c r="S389" s="12"/>
      <c r="T389" s="12"/>
      <c r="U389" s="10" t="str">
        <f t="shared" si="81"/>
        <v>View</v>
      </c>
    </row>
    <row r="390" spans="1:21" ht="40.799999999999997">
      <c r="A390" s="6">
        <v>43440.912268518514</v>
      </c>
      <c r="B390" s="7" t="str">
        <f>HYPERLINK("https://twitter.com/carcaragones","@carcaragones")</f>
        <v>@carcaragones</v>
      </c>
      <c r="C390" s="8" t="s">
        <v>1512</v>
      </c>
      <c r="D390" s="9" t="s">
        <v>1082</v>
      </c>
      <c r="E390" s="10" t="str">
        <f>HYPERLINK("https://twitter.com/carcaragones/status/1070783353526325253","1070783353526325253")</f>
        <v>1070783353526325253</v>
      </c>
      <c r="F390" s="11" t="s">
        <v>1083</v>
      </c>
      <c r="G390" s="12"/>
      <c r="H390" s="12"/>
      <c r="I390" s="13">
        <v>0</v>
      </c>
      <c r="J390" s="13">
        <v>1</v>
      </c>
      <c r="K390" s="14" t="str">
        <f>HYPERLINK("http://twitter.com","Twitter Web Client")</f>
        <v>Twitter Web Client</v>
      </c>
      <c r="L390" s="13">
        <v>970</v>
      </c>
      <c r="M390" s="13">
        <v>1212</v>
      </c>
      <c r="N390" s="13">
        <v>0</v>
      </c>
      <c r="O390" s="15"/>
      <c r="P390" s="6">
        <v>43398.970555555556</v>
      </c>
      <c r="Q390" s="16" t="s">
        <v>795</v>
      </c>
      <c r="R390" s="17" t="s">
        <v>1513</v>
      </c>
      <c r="S390" s="11" t="s">
        <v>1514</v>
      </c>
      <c r="T390" s="12"/>
      <c r="U390" s="10" t="str">
        <f>HYPERLINK("https://pbs.twimg.com/profile_images/1055573990306127872/hgy7tXeF.jpg","View")</f>
        <v>View</v>
      </c>
    </row>
    <row r="391" spans="1:21" ht="30.6">
      <c r="A391" s="6">
        <v>43440.905127314814</v>
      </c>
      <c r="B391" s="7" t="str">
        <f>HYPERLINK("https://twitter.com/McVay3","@McVay3")</f>
        <v>@McVay3</v>
      </c>
      <c r="C391" s="8" t="s">
        <v>312</v>
      </c>
      <c r="D391" s="9" t="s">
        <v>1515</v>
      </c>
      <c r="E391" s="10" t="str">
        <f>HYPERLINK("https://twitter.com/McVay3/status/1070780764382478338","1070780764382478338")</f>
        <v>1070780764382478338</v>
      </c>
      <c r="F391" s="11" t="s">
        <v>1389</v>
      </c>
      <c r="G391" s="12"/>
      <c r="H391" s="12"/>
      <c r="I391" s="13">
        <v>37</v>
      </c>
      <c r="J391" s="13">
        <v>26</v>
      </c>
      <c r="K391" s="14" t="str">
        <f>HYPERLINK("http://twitter.com/download/iphone","Twitter for iPhone")</f>
        <v>Twitter for iPhone</v>
      </c>
      <c r="L391" s="13">
        <v>7325</v>
      </c>
      <c r="M391" s="13">
        <v>2107</v>
      </c>
      <c r="N391" s="13">
        <v>126</v>
      </c>
      <c r="O391" s="15"/>
      <c r="P391" s="6">
        <v>40700.78361111111</v>
      </c>
      <c r="Q391" s="12"/>
      <c r="R391" s="17" t="s">
        <v>314</v>
      </c>
      <c r="S391" s="12"/>
      <c r="T391" s="12"/>
      <c r="U391" s="10" t="str">
        <f>HYPERLINK("https://pbs.twimg.com/profile_images/563461765665546240/d8gNSidr.jpeg","View")</f>
        <v>View</v>
      </c>
    </row>
    <row r="392" spans="1:21" ht="13.2">
      <c r="A392" s="6">
        <v>43440.902754629627</v>
      </c>
      <c r="B392" s="7" t="str">
        <f>HYPERLINK("https://twitter.com/virpb","@virpb")</f>
        <v>@virpb</v>
      </c>
      <c r="C392" s="8" t="s">
        <v>1516</v>
      </c>
      <c r="D392" s="9" t="s">
        <v>1517</v>
      </c>
      <c r="E392" s="10" t="str">
        <f>HYPERLINK("https://twitter.com/virpb/status/1070779907314196482","1070779907314196482")</f>
        <v>1070779907314196482</v>
      </c>
      <c r="F392" s="12"/>
      <c r="G392" s="12"/>
      <c r="H392" s="12"/>
      <c r="I392" s="13">
        <v>0</v>
      </c>
      <c r="J392" s="13">
        <v>2</v>
      </c>
      <c r="K392" s="14" t="str">
        <f>HYPERLINK("http://twitter.com","Twitter Web Client")</f>
        <v>Twitter Web Client</v>
      </c>
      <c r="L392" s="13">
        <v>3012</v>
      </c>
      <c r="M392" s="13">
        <v>1056</v>
      </c>
      <c r="N392" s="13">
        <v>32</v>
      </c>
      <c r="O392" s="15"/>
      <c r="P392" s="6">
        <v>41231.741053240738</v>
      </c>
      <c r="Q392" s="16" t="s">
        <v>232</v>
      </c>
      <c r="R392" s="17" t="s">
        <v>1518</v>
      </c>
      <c r="S392" s="12"/>
      <c r="T392" s="12"/>
      <c r="U392" s="10" t="str">
        <f>HYPERLINK("https://pbs.twimg.com/profile_images/1000343511403778048/bmOTcuaV.jpg","View")</f>
        <v>View</v>
      </c>
    </row>
    <row r="393" spans="1:21" ht="51">
      <c r="A393" s="6">
        <v>43440.8987962963</v>
      </c>
      <c r="B393" s="7" t="str">
        <f>HYPERLINK("https://twitter.com/jacresposomolin","@jacresposomolin")</f>
        <v>@jacresposomolin</v>
      </c>
      <c r="C393" s="8" t="s">
        <v>1519</v>
      </c>
      <c r="D393" s="9" t="s">
        <v>1520</v>
      </c>
      <c r="E393" s="10" t="str">
        <f>HYPERLINK("https://twitter.com/jacresposomolin/status/1070778472535089152","1070778472535089152")</f>
        <v>1070778472535089152</v>
      </c>
      <c r="F393" s="11" t="s">
        <v>141</v>
      </c>
      <c r="G393" s="12"/>
      <c r="H393" s="12"/>
      <c r="I393" s="13">
        <v>10</v>
      </c>
      <c r="J393" s="13">
        <v>2</v>
      </c>
      <c r="K393" s="14" t="str">
        <f>HYPERLINK("http://twitter.com/download/android","Twitter for Android")</f>
        <v>Twitter for Android</v>
      </c>
      <c r="L393" s="13">
        <v>328</v>
      </c>
      <c r="M393" s="13">
        <v>377</v>
      </c>
      <c r="N393" s="13">
        <v>11</v>
      </c>
      <c r="O393" s="15"/>
      <c r="P393" s="6">
        <v>41107.972233796296</v>
      </c>
      <c r="Q393" s="12"/>
      <c r="R393" s="17" t="s">
        <v>1521</v>
      </c>
      <c r="S393" s="12"/>
      <c r="T393" s="12"/>
      <c r="U393" s="10" t="str">
        <f>HYPERLINK("https://pbs.twimg.com/profile_images/666675615211364352/lxyb0kiP.jpg","View")</f>
        <v>View</v>
      </c>
    </row>
    <row r="394" spans="1:21" ht="30.6">
      <c r="A394" s="6">
        <v>43440.897534722222</v>
      </c>
      <c r="B394" s="7" t="str">
        <f>HYPERLINK("https://twitter.com/TerceraRepublca","@TerceraRepublca")</f>
        <v>@TerceraRepublca</v>
      </c>
      <c r="C394" s="8" t="s">
        <v>1522</v>
      </c>
      <c r="D394" s="9" t="s">
        <v>1523</v>
      </c>
      <c r="E394" s="10" t="str">
        <f>HYPERLINK("https://twitter.com/TerceraRepublca/status/1070778016006053888","1070778016006053888")</f>
        <v>1070778016006053888</v>
      </c>
      <c r="F394" s="12"/>
      <c r="G394" s="12"/>
      <c r="H394" s="12"/>
      <c r="I394" s="13">
        <v>0</v>
      </c>
      <c r="J394" s="13">
        <v>0</v>
      </c>
      <c r="K394" s="14" t="str">
        <f>HYPERLINK("http://twitter.com/download/iphone","Twitter for iPhone")</f>
        <v>Twitter for iPhone</v>
      </c>
      <c r="L394" s="13">
        <v>289</v>
      </c>
      <c r="M394" s="13">
        <v>1190</v>
      </c>
      <c r="N394" s="13">
        <v>1</v>
      </c>
      <c r="O394" s="15"/>
      <c r="P394" s="6">
        <v>42650.032442129625</v>
      </c>
      <c r="Q394" s="16" t="s">
        <v>48</v>
      </c>
      <c r="R394" s="17" t="s">
        <v>1524</v>
      </c>
      <c r="S394" s="12"/>
      <c r="T394" s="12"/>
      <c r="U394" s="10" t="str">
        <f>HYPERLINK("https://pbs.twimg.com/profile_images/793380166278012929/Xk6xuh3y.jpg","View")</f>
        <v>View</v>
      </c>
    </row>
    <row r="395" spans="1:21" ht="20.399999999999999">
      <c r="A395" s="6">
        <v>43440.895972222221</v>
      </c>
      <c r="B395" s="7" t="str">
        <f>HYPERLINK("https://twitter.com/almodis1020","@almodis1020")</f>
        <v>@almodis1020</v>
      </c>
      <c r="C395" s="8" t="s">
        <v>1525</v>
      </c>
      <c r="D395" s="9" t="s">
        <v>1526</v>
      </c>
      <c r="E395" s="10" t="str">
        <f>HYPERLINK("https://twitter.com/almodis1020/status/1070777447841521665","1070777447841521665")</f>
        <v>1070777447841521665</v>
      </c>
      <c r="F395" s="11" t="s">
        <v>1527</v>
      </c>
      <c r="G395" s="12"/>
      <c r="H395" s="12"/>
      <c r="I395" s="13">
        <v>0</v>
      </c>
      <c r="J395" s="13">
        <v>0</v>
      </c>
      <c r="K395" s="14" t="str">
        <f>HYPERLINK("http://twitter.com","Twitter Web Client")</f>
        <v>Twitter Web Client</v>
      </c>
      <c r="L395" s="13">
        <v>218</v>
      </c>
      <c r="M395" s="13">
        <v>741</v>
      </c>
      <c r="N395" s="13">
        <v>1</v>
      </c>
      <c r="O395" s="15"/>
      <c r="P395" s="6">
        <v>42780.467499999999</v>
      </c>
      <c r="Q395" s="12"/>
      <c r="R395" s="17" t="s">
        <v>1528</v>
      </c>
      <c r="S395" s="12"/>
      <c r="T395" s="12"/>
      <c r="U395" s="10" t="str">
        <f>HYPERLINK("https://pbs.twimg.com/profile_images/831473658619113472/1pJq8Mmj.jpg","View")</f>
        <v>View</v>
      </c>
    </row>
    <row r="396" spans="1:21" ht="20.399999999999999">
      <c r="A396" s="6">
        <v>43440.892002314809</v>
      </c>
      <c r="B396" s="7" t="str">
        <f>HYPERLINK("https://twitter.com/Jimaciasma","@Jimaciasma")</f>
        <v>@Jimaciasma</v>
      </c>
      <c r="C396" s="8" t="s">
        <v>1529</v>
      </c>
      <c r="D396" s="9" t="s">
        <v>1530</v>
      </c>
      <c r="E396" s="10" t="str">
        <f>HYPERLINK("https://twitter.com/Jimaciasma/status/1070776011850166272","1070776011850166272")</f>
        <v>1070776011850166272</v>
      </c>
      <c r="F396" s="11" t="s">
        <v>1531</v>
      </c>
      <c r="G396" s="12"/>
      <c r="H396" s="12"/>
      <c r="I396" s="13">
        <v>0</v>
      </c>
      <c r="J396" s="13">
        <v>1</v>
      </c>
      <c r="K396" s="14" t="str">
        <f t="shared" ref="K396:K399" si="82">HYPERLINK("http://twitter.com/download/android","Twitter for Android")</f>
        <v>Twitter for Android</v>
      </c>
      <c r="L396" s="13">
        <v>279</v>
      </c>
      <c r="M396" s="13">
        <v>468</v>
      </c>
      <c r="N396" s="13">
        <v>2</v>
      </c>
      <c r="O396" s="15"/>
      <c r="P396" s="6">
        <v>42135.873495370368</v>
      </c>
      <c r="Q396" s="16" t="s">
        <v>1532</v>
      </c>
      <c r="R396" s="17" t="s">
        <v>1533</v>
      </c>
      <c r="S396" s="12"/>
      <c r="T396" s="12"/>
      <c r="U396" s="10" t="str">
        <f>HYPERLINK("https://pbs.twimg.com/profile_images/933947227579576321/cbmMRDwL.jpg","View")</f>
        <v>View</v>
      </c>
    </row>
    <row r="397" spans="1:21" ht="40.799999999999997">
      <c r="A397" s="6">
        <v>43440.89163194444</v>
      </c>
      <c r="B397" s="7" t="str">
        <f>HYPERLINK("https://twitter.com/either_mark","@either_mark")</f>
        <v>@either_mark</v>
      </c>
      <c r="C397" s="8" t="s">
        <v>1534</v>
      </c>
      <c r="D397" s="9" t="s">
        <v>1535</v>
      </c>
      <c r="E397" s="10" t="str">
        <f>HYPERLINK("https://twitter.com/either_mark/status/1070775877271764992","1070775877271764992")</f>
        <v>1070775877271764992</v>
      </c>
      <c r="F397" s="11" t="s">
        <v>1365</v>
      </c>
      <c r="G397" s="12"/>
      <c r="H397" s="12"/>
      <c r="I397" s="13">
        <v>4</v>
      </c>
      <c r="J397" s="13">
        <v>2</v>
      </c>
      <c r="K397" s="14" t="str">
        <f t="shared" si="82"/>
        <v>Twitter for Android</v>
      </c>
      <c r="L397" s="13">
        <v>4591</v>
      </c>
      <c r="M397" s="13">
        <v>5004</v>
      </c>
      <c r="N397" s="13">
        <v>11</v>
      </c>
      <c r="O397" s="15"/>
      <c r="P397" s="6">
        <v>43229.459687499999</v>
      </c>
      <c r="Q397" s="16" t="s">
        <v>1536</v>
      </c>
      <c r="R397" s="17" t="s">
        <v>1537</v>
      </c>
      <c r="S397" s="12"/>
      <c r="T397" s="12"/>
      <c r="U397" s="10" t="str">
        <f>HYPERLINK("https://pbs.twimg.com/profile_images/1056687861943230464/pY-fJIuC.jpg","View")</f>
        <v>View</v>
      </c>
    </row>
    <row r="398" spans="1:21" ht="51">
      <c r="A398" s="6">
        <v>43440.888981481483</v>
      </c>
      <c r="B398" s="7" t="str">
        <f>HYPERLINK("https://twitter.com/JuanPombar","@JuanPombar")</f>
        <v>@JuanPombar</v>
      </c>
      <c r="C398" s="8" t="s">
        <v>1538</v>
      </c>
      <c r="D398" s="9" t="s">
        <v>1539</v>
      </c>
      <c r="E398" s="10" t="str">
        <f>HYPERLINK("https://twitter.com/JuanPombar/status/1070774913835982848","1070774913835982848")</f>
        <v>1070774913835982848</v>
      </c>
      <c r="F398" s="12"/>
      <c r="G398" s="12"/>
      <c r="H398" s="12"/>
      <c r="I398" s="13">
        <v>0</v>
      </c>
      <c r="J398" s="13">
        <v>1</v>
      </c>
      <c r="K398" s="14" t="str">
        <f t="shared" si="82"/>
        <v>Twitter for Android</v>
      </c>
      <c r="L398" s="13">
        <v>1103</v>
      </c>
      <c r="M398" s="13">
        <v>261</v>
      </c>
      <c r="N398" s="13">
        <v>61</v>
      </c>
      <c r="O398" s="15"/>
      <c r="P398" s="6">
        <v>39907.894618055558</v>
      </c>
      <c r="Q398" s="16" t="s">
        <v>1540</v>
      </c>
      <c r="R398" s="17" t="s">
        <v>1541</v>
      </c>
      <c r="S398" s="11" t="s">
        <v>1542</v>
      </c>
      <c r="T398" s="12"/>
      <c r="U398" s="10" t="str">
        <f>HYPERLINK("https://pbs.twimg.com/profile_images/1019524742511022080/QZ_29XOf.jpg","View")</f>
        <v>View</v>
      </c>
    </row>
    <row r="399" spans="1:21" ht="30.6">
      <c r="A399" s="6">
        <v>43440.887245370366</v>
      </c>
      <c r="B399" s="7" t="str">
        <f>HYPERLINK("https://twitter.com/ondacerogijon","@ondacerogijon")</f>
        <v>@ondacerogijon</v>
      </c>
      <c r="C399" s="8" t="s">
        <v>1543</v>
      </c>
      <c r="D399" s="9" t="s">
        <v>1544</v>
      </c>
      <c r="E399" s="10" t="str">
        <f>HYPERLINK("https://twitter.com/ondacerogijon/status/1070774285881483265","1070774285881483265")</f>
        <v>1070774285881483265</v>
      </c>
      <c r="F399" s="12"/>
      <c r="G399" s="11" t="s">
        <v>1545</v>
      </c>
      <c r="H399" s="12"/>
      <c r="I399" s="13">
        <v>0</v>
      </c>
      <c r="J399" s="13">
        <v>1</v>
      </c>
      <c r="K399" s="14" t="str">
        <f t="shared" si="82"/>
        <v>Twitter for Android</v>
      </c>
      <c r="L399" s="13">
        <v>10082</v>
      </c>
      <c r="M399" s="13">
        <v>922</v>
      </c>
      <c r="N399" s="13">
        <v>263</v>
      </c>
      <c r="O399" s="15"/>
      <c r="P399" s="6">
        <v>40464.600370370368</v>
      </c>
      <c r="Q399" s="16" t="s">
        <v>1546</v>
      </c>
      <c r="R399" s="17" t="s">
        <v>1547</v>
      </c>
      <c r="S399" s="11" t="s">
        <v>1548</v>
      </c>
      <c r="T399" s="12"/>
      <c r="U399" s="10" t="str">
        <f>HYPERLINK("https://pbs.twimg.com/profile_images/899360615508189184/wZoQEX8x.jpg","View")</f>
        <v>View</v>
      </c>
    </row>
    <row r="400" spans="1:21" ht="20.399999999999999">
      <c r="A400" s="6">
        <v>43440.886944444443</v>
      </c>
      <c r="B400" s="7" t="str">
        <f>HYPERLINK("https://twitter.com/JE_PTX","@JE_PTX")</f>
        <v>@JE_PTX</v>
      </c>
      <c r="C400" s="8" t="s">
        <v>1549</v>
      </c>
      <c r="D400" s="9" t="s">
        <v>1550</v>
      </c>
      <c r="E400" s="10" t="str">
        <f>HYPERLINK("https://twitter.com/JE_PTX/status/1070774177936879619","1070774177936879619")</f>
        <v>1070774177936879619</v>
      </c>
      <c r="F400" s="12"/>
      <c r="G400" s="11" t="s">
        <v>1551</v>
      </c>
      <c r="H400" s="12"/>
      <c r="I400" s="13">
        <v>7</v>
      </c>
      <c r="J400" s="13">
        <v>25</v>
      </c>
      <c r="K400" s="14" t="str">
        <f>HYPERLINK("http://twitter.com","Twitter Web Client")</f>
        <v>Twitter Web Client</v>
      </c>
      <c r="L400" s="13">
        <v>54</v>
      </c>
      <c r="M400" s="13">
        <v>115</v>
      </c>
      <c r="N400" s="13">
        <v>0</v>
      </c>
      <c r="O400" s="15"/>
      <c r="P400" s="6">
        <v>42274.45621527778</v>
      </c>
      <c r="Q400" s="16" t="s">
        <v>1552</v>
      </c>
      <c r="R400" s="17" t="s">
        <v>1553</v>
      </c>
      <c r="S400" s="12"/>
      <c r="T400" s="12"/>
      <c r="U400" s="10" t="str">
        <f>HYPERLINK("https://pbs.twimg.com/profile_images/1042316574437400576/BIeKM0tt.jpg","View")</f>
        <v>View</v>
      </c>
    </row>
    <row r="401" spans="1:21" ht="20.399999999999999">
      <c r="A401" s="6">
        <v>43440.886874999997</v>
      </c>
      <c r="B401" s="7" t="str">
        <f>HYPERLINK("https://twitter.com/AndaluciaSinVOX","@AndaluciaSinVOX")</f>
        <v>@AndaluciaSinVOX</v>
      </c>
      <c r="C401" s="8" t="s">
        <v>1042</v>
      </c>
      <c r="D401" s="9" t="s">
        <v>1409</v>
      </c>
      <c r="E401" s="10" t="str">
        <f>HYPERLINK("https://twitter.com/AndaluciaSinVOX/status/1070774153509302274","1070774153509302274")</f>
        <v>1070774153509302274</v>
      </c>
      <c r="F401" s="11" t="s">
        <v>1176</v>
      </c>
      <c r="G401" s="12"/>
      <c r="H401" s="12"/>
      <c r="I401" s="13">
        <v>5</v>
      </c>
      <c r="J401" s="13">
        <v>8</v>
      </c>
      <c r="K401" s="14" t="str">
        <f>HYPERLINK("http://twitter.com/download/iphone","Twitter for iPhone")</f>
        <v>Twitter for iPhone</v>
      </c>
      <c r="L401" s="13">
        <v>410</v>
      </c>
      <c r="M401" s="13">
        <v>915</v>
      </c>
      <c r="N401" s="13">
        <v>0</v>
      </c>
      <c r="O401" s="15"/>
      <c r="P401" s="6">
        <v>43438.789027777777</v>
      </c>
      <c r="Q401" s="12"/>
      <c r="R401" s="17" t="s">
        <v>1044</v>
      </c>
      <c r="S401" s="12"/>
      <c r="T401" s="12"/>
      <c r="U401" s="10" t="str">
        <f>HYPERLINK("https://pbs.twimg.com/profile_images/1070802382471221248/0lriv6CL.jpg","View")</f>
        <v>View</v>
      </c>
    </row>
    <row r="402" spans="1:21" ht="40.799999999999997">
      <c r="A402" s="6">
        <v>43440.88658564815</v>
      </c>
      <c r="B402" s="7" t="str">
        <f>HYPERLINK("https://twitter.com/_AlbeRMS_","@_AlbeRMS_")</f>
        <v>@_AlbeRMS_</v>
      </c>
      <c r="C402" s="8" t="s">
        <v>1554</v>
      </c>
      <c r="D402" s="9" t="s">
        <v>1555</v>
      </c>
      <c r="E402" s="10" t="str">
        <f>HYPERLINK("https://twitter.com/_AlbeRMS_/status/1070774045656924161","1070774045656924161")</f>
        <v>1070774045656924161</v>
      </c>
      <c r="F402" s="12"/>
      <c r="G402" s="12"/>
      <c r="H402" s="12"/>
      <c r="I402" s="13">
        <v>0</v>
      </c>
      <c r="J402" s="13">
        <v>0</v>
      </c>
      <c r="K402" s="14" t="str">
        <f>HYPERLINK("http://twitter.com/download/android","Twitter for Android")</f>
        <v>Twitter for Android</v>
      </c>
      <c r="L402" s="13">
        <v>1101</v>
      </c>
      <c r="M402" s="13">
        <v>1239</v>
      </c>
      <c r="N402" s="13">
        <v>19</v>
      </c>
      <c r="O402" s="15"/>
      <c r="P402" s="6">
        <v>40899.012152777781</v>
      </c>
      <c r="Q402" s="16" t="s">
        <v>1556</v>
      </c>
      <c r="R402" s="17" t="s">
        <v>1557</v>
      </c>
      <c r="S402" s="11" t="s">
        <v>1558</v>
      </c>
      <c r="T402" s="12"/>
      <c r="U402" s="10" t="str">
        <f>HYPERLINK("https://pbs.twimg.com/profile_images/881961728313094144/sf0S_hZj.jpg","View")</f>
        <v>View</v>
      </c>
    </row>
    <row r="403" spans="1:21" ht="20.399999999999999">
      <c r="A403" s="6">
        <v>43440.879861111112</v>
      </c>
      <c r="B403" s="7" t="str">
        <f>HYPERLINK("https://twitter.com/voz_populi","@voz_populi")</f>
        <v>@voz_populi</v>
      </c>
      <c r="C403" s="8" t="s">
        <v>1559</v>
      </c>
      <c r="D403" s="9" t="s">
        <v>1560</v>
      </c>
      <c r="E403" s="10" t="str">
        <f>HYPERLINK("https://twitter.com/voz_populi/status/1070771609517068294","1070771609517068294")</f>
        <v>1070771609517068294</v>
      </c>
      <c r="F403" s="11" t="s">
        <v>1561</v>
      </c>
      <c r="G403" s="12"/>
      <c r="H403" s="12"/>
      <c r="I403" s="13">
        <v>1</v>
      </c>
      <c r="J403" s="13">
        <v>1</v>
      </c>
      <c r="K403" s="14" t="str">
        <f>HYPERLINK("https://buffer.com","Buffer")</f>
        <v>Buffer</v>
      </c>
      <c r="L403" s="13">
        <v>92928</v>
      </c>
      <c r="M403" s="13">
        <v>1396</v>
      </c>
      <c r="N403" s="13">
        <v>2709</v>
      </c>
      <c r="O403" s="19" t="s">
        <v>44</v>
      </c>
      <c r="P403" s="6">
        <v>40792.585856481484</v>
      </c>
      <c r="Q403" s="12"/>
      <c r="R403" s="17" t="s">
        <v>1562</v>
      </c>
      <c r="S403" s="11" t="s">
        <v>1563</v>
      </c>
      <c r="T403" s="12"/>
      <c r="U403" s="10" t="str">
        <f>HYPERLINK("https://pbs.twimg.com/profile_images/1006562248830144512/xFizZY0L.jpg","View")</f>
        <v>View</v>
      </c>
    </row>
    <row r="404" spans="1:21" ht="30.6">
      <c r="A404" s="6">
        <v>43440.879363425927</v>
      </c>
      <c r="B404" s="7" t="str">
        <f>HYPERLINK("https://twitter.com/josecarloscurto","@josecarloscurto")</f>
        <v>@josecarloscurto</v>
      </c>
      <c r="C404" s="8" t="s">
        <v>1564</v>
      </c>
      <c r="D404" s="9" t="s">
        <v>1565</v>
      </c>
      <c r="E404" s="10" t="str">
        <f>HYPERLINK("https://twitter.com/josecarloscurto/status/1070771428348358656","1070771428348358656")</f>
        <v>1070771428348358656</v>
      </c>
      <c r="F404" s="11" t="s">
        <v>1129</v>
      </c>
      <c r="G404" s="12"/>
      <c r="H404" s="12"/>
      <c r="I404" s="13">
        <v>0</v>
      </c>
      <c r="J404" s="13">
        <v>0</v>
      </c>
      <c r="K404" s="14" t="str">
        <f>HYPERLINK("http://www.facebook.com/twitter","Facebook")</f>
        <v>Facebook</v>
      </c>
      <c r="L404" s="13">
        <v>1326</v>
      </c>
      <c r="M404" s="13">
        <v>2036</v>
      </c>
      <c r="N404" s="13">
        <v>6</v>
      </c>
      <c r="O404" s="15"/>
      <c r="P404" s="6">
        <v>40852.499675925923</v>
      </c>
      <c r="Q404" s="16" t="s">
        <v>1567</v>
      </c>
      <c r="R404" s="17" t="s">
        <v>1568</v>
      </c>
      <c r="S404" s="11" t="s">
        <v>1569</v>
      </c>
      <c r="T404" s="12"/>
      <c r="U404" s="10" t="str">
        <f>HYPERLINK("https://pbs.twimg.com/profile_images/870174534003032064/ybuCRQ0A.jpg","View")</f>
        <v>View</v>
      </c>
    </row>
    <row r="405" spans="1:21" ht="30.6">
      <c r="A405" s="6">
        <v>43440.878125000003</v>
      </c>
      <c r="B405" s="7" t="str">
        <f>HYPERLINK("https://twitter.com/InformeFrontera","@InformeFrontera")</f>
        <v>@InformeFrontera</v>
      </c>
      <c r="C405" s="8" t="s">
        <v>1475</v>
      </c>
      <c r="D405" s="9" t="s">
        <v>1155</v>
      </c>
      <c r="E405" s="10" t="str">
        <f>HYPERLINK("https://twitter.com/InformeFrontera/status/1070770979285164032","1070770979285164032")</f>
        <v>1070770979285164032</v>
      </c>
      <c r="F405" s="11" t="s">
        <v>1570</v>
      </c>
      <c r="G405" s="12"/>
      <c r="H405" s="12"/>
      <c r="I405" s="13">
        <v>0</v>
      </c>
      <c r="J405" s="13">
        <v>0</v>
      </c>
      <c r="K405" s="14" t="str">
        <f>HYPERLINK("https://ifttt.com","IFTTT")</f>
        <v>IFTTT</v>
      </c>
      <c r="L405" s="13">
        <v>363</v>
      </c>
      <c r="M405" s="13">
        <v>1181</v>
      </c>
      <c r="N405" s="13">
        <v>11</v>
      </c>
      <c r="O405" s="15"/>
      <c r="P405" s="6">
        <v>40694.801759259259</v>
      </c>
      <c r="Q405" s="16" t="s">
        <v>48</v>
      </c>
      <c r="R405" s="17" t="s">
        <v>1477</v>
      </c>
      <c r="S405" s="11" t="s">
        <v>1478</v>
      </c>
      <c r="T405" s="12"/>
      <c r="U405" s="10" t="str">
        <f>HYPERLINK("https://pbs.twimg.com/profile_images/920324605755215874/HfEuS2ye.jpg","View")</f>
        <v>View</v>
      </c>
    </row>
    <row r="406" spans="1:21" ht="40.799999999999997">
      <c r="A406" s="6">
        <v>43440.874537037038</v>
      </c>
      <c r="B406" s="7" t="str">
        <f>HYPERLINK("https://twitter.com/soup_dragons","@soup_dragons")</f>
        <v>@soup_dragons</v>
      </c>
      <c r="C406" s="8" t="s">
        <v>1571</v>
      </c>
      <c r="D406" s="9" t="s">
        <v>1572</v>
      </c>
      <c r="E406" s="10" t="str">
        <f>HYPERLINK("https://twitter.com/soup_dragons/status/1070769682540580866","1070769682540580866")</f>
        <v>1070769682540580866</v>
      </c>
      <c r="F406" s="12"/>
      <c r="G406" s="12"/>
      <c r="H406" s="12"/>
      <c r="I406" s="13">
        <v>0</v>
      </c>
      <c r="J406" s="13">
        <v>0</v>
      </c>
      <c r="K406" s="14" t="str">
        <f t="shared" ref="K406:K408" si="83">HYPERLINK("http://twitter.com","Twitter Web Client")</f>
        <v>Twitter Web Client</v>
      </c>
      <c r="L406" s="13">
        <v>6077</v>
      </c>
      <c r="M406" s="13">
        <v>5473</v>
      </c>
      <c r="N406" s="13">
        <v>21</v>
      </c>
      <c r="O406" s="15"/>
      <c r="P406" s="6">
        <v>42003.72320601852</v>
      </c>
      <c r="Q406" s="16" t="s">
        <v>1574</v>
      </c>
      <c r="R406" s="17" t="s">
        <v>1575</v>
      </c>
      <c r="S406" s="11" t="s">
        <v>1576</v>
      </c>
      <c r="T406" s="12"/>
      <c r="U406" s="10" t="str">
        <f>HYPERLINK("https://pbs.twimg.com/profile_images/1060627899550756865/WgevRwDI.jpg","View")</f>
        <v>View</v>
      </c>
    </row>
    <row r="407" spans="1:21" ht="40.799999999999997">
      <c r="A407" s="6">
        <v>43440.874259259261</v>
      </c>
      <c r="B407" s="7" t="str">
        <f>HYPERLINK("https://twitter.com/chuchicharra","@chuchicharra")</f>
        <v>@chuchicharra</v>
      </c>
      <c r="C407" s="8" t="s">
        <v>1577</v>
      </c>
      <c r="D407" s="9" t="s">
        <v>1578</v>
      </c>
      <c r="E407" s="10" t="str">
        <f>HYPERLINK("https://twitter.com/chuchicharra/status/1070769578802851840","1070769578802851840")</f>
        <v>1070769578802851840</v>
      </c>
      <c r="F407" s="11" t="s">
        <v>141</v>
      </c>
      <c r="G407" s="12"/>
      <c r="H407" s="12"/>
      <c r="I407" s="13">
        <v>0</v>
      </c>
      <c r="J407" s="13">
        <v>0</v>
      </c>
      <c r="K407" s="14" t="str">
        <f t="shared" si="83"/>
        <v>Twitter Web Client</v>
      </c>
      <c r="L407" s="13">
        <v>2965</v>
      </c>
      <c r="M407" s="13">
        <v>2718</v>
      </c>
      <c r="N407" s="13">
        <v>29</v>
      </c>
      <c r="O407" s="15"/>
      <c r="P407" s="6">
        <v>40709.431643518517</v>
      </c>
      <c r="Q407" s="16" t="s">
        <v>1579</v>
      </c>
      <c r="R407" s="17" t="s">
        <v>1580</v>
      </c>
      <c r="S407" s="12"/>
      <c r="T407" s="12"/>
      <c r="U407" s="10" t="str">
        <f>HYPERLINK("https://pbs.twimg.com/profile_images/1056813208500084736/sDrB-J_a.jpg","View")</f>
        <v>View</v>
      </c>
    </row>
    <row r="408" spans="1:21" ht="20.399999999999999">
      <c r="A408" s="6">
        <v>43440.872569444444</v>
      </c>
      <c r="B408" s="7" t="str">
        <f>HYPERLINK("https://twitter.com/gonzaljo","@gonzaljo")</f>
        <v>@gonzaljo</v>
      </c>
      <c r="C408" s="8" t="s">
        <v>1581</v>
      </c>
      <c r="D408" s="9" t="s">
        <v>1582</v>
      </c>
      <c r="E408" s="10" t="str">
        <f>HYPERLINK("https://twitter.com/gonzaljo/status/1070768966371602437","1070768966371602437")</f>
        <v>1070768966371602437</v>
      </c>
      <c r="F408" s="11" t="s">
        <v>1583</v>
      </c>
      <c r="G408" s="12"/>
      <c r="H408" s="12"/>
      <c r="I408" s="13">
        <v>0</v>
      </c>
      <c r="J408" s="13">
        <v>0</v>
      </c>
      <c r="K408" s="14" t="str">
        <f t="shared" si="83"/>
        <v>Twitter Web Client</v>
      </c>
      <c r="L408" s="13">
        <v>1590</v>
      </c>
      <c r="M408" s="13">
        <v>1541</v>
      </c>
      <c r="N408" s="13">
        <v>36</v>
      </c>
      <c r="O408" s="15"/>
      <c r="P408" s="6">
        <v>40725.905995370369</v>
      </c>
      <c r="Q408" s="12"/>
      <c r="R408" s="17" t="s">
        <v>1584</v>
      </c>
      <c r="S408" s="12"/>
      <c r="T408" s="12"/>
      <c r="U408" s="10" t="str">
        <f>HYPERLINK("https://pbs.twimg.com/profile_images/982532196392165376/-gjrnRhy.jpg","View")</f>
        <v>View</v>
      </c>
    </row>
    <row r="409" spans="1:21" ht="30.6">
      <c r="A409" s="6">
        <v>43440.872476851851</v>
      </c>
      <c r="B409" s="7" t="str">
        <f>HYPERLINK("https://twitter.com/JCarbonellgom","@JCarbonellgom")</f>
        <v>@JCarbonellgom</v>
      </c>
      <c r="C409" s="8" t="s">
        <v>1585</v>
      </c>
      <c r="D409" s="9" t="s">
        <v>1586</v>
      </c>
      <c r="E409" s="10" t="str">
        <f>HYPERLINK("https://twitter.com/JCarbonellgom/status/1070768933819609089","1070768933819609089")</f>
        <v>1070768933819609089</v>
      </c>
      <c r="F409" s="11" t="s">
        <v>1587</v>
      </c>
      <c r="G409" s="12"/>
      <c r="H409" s="12"/>
      <c r="I409" s="13">
        <v>0</v>
      </c>
      <c r="J409" s="13">
        <v>0</v>
      </c>
      <c r="K409" s="14" t="str">
        <f>HYPERLINK("http://twitter.com/download/iphone","Twitter for iPhone")</f>
        <v>Twitter for iPhone</v>
      </c>
      <c r="L409" s="13">
        <v>22</v>
      </c>
      <c r="M409" s="13">
        <v>46</v>
      </c>
      <c r="N409" s="13">
        <v>0</v>
      </c>
      <c r="O409" s="15"/>
      <c r="P409" s="6">
        <v>43010.497488425928</v>
      </c>
      <c r="Q409" s="16" t="s">
        <v>370</v>
      </c>
      <c r="R409" s="17" t="s">
        <v>1588</v>
      </c>
      <c r="S409" s="12"/>
      <c r="T409" s="12"/>
      <c r="U409" s="10" t="str">
        <f>HYPERLINK("https://pbs.twimg.com/profile_images/1070598396413657088/Ty1LO9Gg.jpg","View")</f>
        <v>View</v>
      </c>
    </row>
    <row r="410" spans="1:21" ht="40.799999999999997">
      <c r="A410" s="6">
        <v>43440.870578703703</v>
      </c>
      <c r="B410" s="7" t="str">
        <f>HYPERLINK("https://twitter.com/furretillo","@furretillo")</f>
        <v>@furretillo</v>
      </c>
      <c r="C410" s="8" t="s">
        <v>1589</v>
      </c>
      <c r="D410" s="9" t="s">
        <v>1590</v>
      </c>
      <c r="E410" s="10" t="str">
        <f>HYPERLINK("https://twitter.com/furretillo/status/1070768248189267973","1070768248189267973")</f>
        <v>1070768248189267973</v>
      </c>
      <c r="F410" s="12"/>
      <c r="G410" s="12"/>
      <c r="H410" s="12"/>
      <c r="I410" s="13">
        <v>0</v>
      </c>
      <c r="J410" s="13">
        <v>1</v>
      </c>
      <c r="K410" s="14" t="str">
        <f>HYPERLINK("http://twitter.com","Twitter Web Client")</f>
        <v>Twitter Web Client</v>
      </c>
      <c r="L410" s="13">
        <v>4710</v>
      </c>
      <c r="M410" s="13">
        <v>4003</v>
      </c>
      <c r="N410" s="13">
        <v>22</v>
      </c>
      <c r="O410" s="15"/>
      <c r="P410" s="6">
        <v>41412.937569444446</v>
      </c>
      <c r="Q410" s="12"/>
      <c r="R410" s="17" t="s">
        <v>1591</v>
      </c>
      <c r="S410" s="12"/>
      <c r="T410" s="12"/>
      <c r="U410" s="10" t="str">
        <f>HYPERLINK("https://pbs.twimg.com/profile_images/3678005210/e8150c2c2b1c85957c34007aba1973d9.jpeg","View")</f>
        <v>View</v>
      </c>
    </row>
    <row r="411" spans="1:21" ht="51">
      <c r="A411" s="6">
        <v>43440.868807870371</v>
      </c>
      <c r="B411" s="7" t="str">
        <f>HYPERLINK("https://twitter.com/Glorfindel_III","@Glorfindel_III")</f>
        <v>@Glorfindel_III</v>
      </c>
      <c r="C411" s="8" t="s">
        <v>1592</v>
      </c>
      <c r="D411" s="9" t="s">
        <v>1593</v>
      </c>
      <c r="E411" s="10" t="str">
        <f>HYPERLINK("https://twitter.com/Glorfindel_III/status/1070767605735178240","1070767605735178240")</f>
        <v>1070767605735178240</v>
      </c>
      <c r="F411" s="11" t="s">
        <v>1594</v>
      </c>
      <c r="G411" s="12"/>
      <c r="H411" s="12"/>
      <c r="I411" s="13">
        <v>0</v>
      </c>
      <c r="J411" s="13">
        <v>0</v>
      </c>
      <c r="K411" s="14" t="str">
        <f t="shared" ref="K411:K412" si="84">HYPERLINK("http://twitter.com/download/android","Twitter for Android")</f>
        <v>Twitter for Android</v>
      </c>
      <c r="L411" s="13">
        <v>804</v>
      </c>
      <c r="M411" s="13">
        <v>662</v>
      </c>
      <c r="N411" s="13">
        <v>44</v>
      </c>
      <c r="O411" s="15"/>
      <c r="P411" s="6">
        <v>40453.03396990741</v>
      </c>
      <c r="Q411" s="16" t="s">
        <v>1595</v>
      </c>
      <c r="R411" s="17" t="s">
        <v>1596</v>
      </c>
      <c r="S411" s="12"/>
      <c r="T411" s="12"/>
      <c r="U411" s="10" t="str">
        <f>HYPERLINK("https://pbs.twimg.com/profile_images/1706626696/image.jpg","View")</f>
        <v>View</v>
      </c>
    </row>
    <row r="412" spans="1:21" ht="20.399999999999999">
      <c r="A412" s="6">
        <v>43440.867314814815</v>
      </c>
      <c r="B412" s="7" t="str">
        <f>HYPERLINK("https://twitter.com/AgustinBotines","@AgustinBotines")</f>
        <v>@AgustinBotines</v>
      </c>
      <c r="C412" s="8" t="s">
        <v>1597</v>
      </c>
      <c r="D412" s="9" t="s">
        <v>1598</v>
      </c>
      <c r="E412" s="10" t="str">
        <f>HYPERLINK("https://twitter.com/AgustinBotines/status/1070767061956202496","1070767061956202496")</f>
        <v>1070767061956202496</v>
      </c>
      <c r="F412" s="11" t="s">
        <v>1599</v>
      </c>
      <c r="G412" s="12"/>
      <c r="H412" s="12"/>
      <c r="I412" s="13">
        <v>0</v>
      </c>
      <c r="J412" s="13">
        <v>0</v>
      </c>
      <c r="K412" s="14" t="str">
        <f t="shared" si="84"/>
        <v>Twitter for Android</v>
      </c>
      <c r="L412" s="13">
        <v>3034</v>
      </c>
      <c r="M412" s="13">
        <v>2567</v>
      </c>
      <c r="N412" s="13">
        <v>35</v>
      </c>
      <c r="O412" s="15"/>
      <c r="P412" s="6">
        <v>41249.897210648152</v>
      </c>
      <c r="Q412" s="16" t="s">
        <v>1600</v>
      </c>
      <c r="R412" s="17" t="s">
        <v>1601</v>
      </c>
      <c r="S412" s="11" t="s">
        <v>1602</v>
      </c>
      <c r="T412" s="12"/>
      <c r="U412" s="10" t="str">
        <f>HYPERLINK("https://pbs.twimg.com/profile_images/1055213762137989120/Ughpi-07.jpg","View")</f>
        <v>View</v>
      </c>
    </row>
    <row r="413" spans="1:21" ht="30.6">
      <c r="A413" s="6">
        <v>43440.867291666669</v>
      </c>
      <c r="B413" s="7" t="str">
        <f>HYPERLINK("https://twitter.com/ngarrigosp","@ngarrigosp")</f>
        <v>@ngarrigosp</v>
      </c>
      <c r="C413" s="8" t="s">
        <v>1603</v>
      </c>
      <c r="D413" s="9" t="s">
        <v>1472</v>
      </c>
      <c r="E413" s="10" t="str">
        <f>HYPERLINK("https://twitter.com/ngarrigosp/status/1070767056520396800","1070767056520396800")</f>
        <v>1070767056520396800</v>
      </c>
      <c r="F413" s="11" t="s">
        <v>1176</v>
      </c>
      <c r="G413" s="12"/>
      <c r="H413" s="12"/>
      <c r="I413" s="13">
        <v>0</v>
      </c>
      <c r="J413" s="13">
        <v>0</v>
      </c>
      <c r="K413" s="14" t="str">
        <f>HYPERLINK("http://twitter.com","Twitter Web Client")</f>
        <v>Twitter Web Client</v>
      </c>
      <c r="L413" s="13">
        <v>2286</v>
      </c>
      <c r="M413" s="13">
        <v>2093</v>
      </c>
      <c r="N413" s="13">
        <v>37</v>
      </c>
      <c r="O413" s="15"/>
      <c r="P413" s="6">
        <v>40614.759479166663</v>
      </c>
      <c r="Q413" s="16" t="s">
        <v>1604</v>
      </c>
      <c r="R413" s="17" t="s">
        <v>1605</v>
      </c>
      <c r="S413" s="12"/>
      <c r="T413" s="12"/>
      <c r="U413" s="10" t="str">
        <f>HYPERLINK("https://pbs.twimg.com/profile_images/1063053738984792065/R8V_d1iR.jpg","View")</f>
        <v>View</v>
      </c>
    </row>
    <row r="414" spans="1:21" ht="30.6">
      <c r="A414" s="6">
        <v>43440.862951388888</v>
      </c>
      <c r="B414" s="7" t="str">
        <f>HYPERLINK("https://twitter.com/MARACAY24HRS","@MARACAY24HRS")</f>
        <v>@MARACAY24HRS</v>
      </c>
      <c r="C414" s="8" t="s">
        <v>1606</v>
      </c>
      <c r="D414" s="9" t="s">
        <v>1607</v>
      </c>
      <c r="E414" s="10" t="str">
        <f>HYPERLINK("https://twitter.com/MARACAY24HRS/status/1070765483970838528","1070765483970838528")</f>
        <v>1070765483970838528</v>
      </c>
      <c r="F414" s="11" t="s">
        <v>1608</v>
      </c>
      <c r="G414" s="12"/>
      <c r="H414" s="12"/>
      <c r="I414" s="13">
        <v>0</v>
      </c>
      <c r="J414" s="13">
        <v>0</v>
      </c>
      <c r="K414" s="14" t="str">
        <f>HYPERLINK("https://dlvrit.com/","dlvr.it")</f>
        <v>dlvr.it</v>
      </c>
      <c r="L414" s="13">
        <v>8273</v>
      </c>
      <c r="M414" s="13">
        <v>7026</v>
      </c>
      <c r="N414" s="13">
        <v>51</v>
      </c>
      <c r="O414" s="15"/>
      <c r="P414" s="6">
        <v>40968.033148148148</v>
      </c>
      <c r="Q414" s="16" t="s">
        <v>1609</v>
      </c>
      <c r="R414" s="17" t="s">
        <v>1610</v>
      </c>
      <c r="S414" s="12"/>
      <c r="T414" s="12"/>
      <c r="U414" s="10" t="str">
        <f>HYPERLINK("https://pbs.twimg.com/profile_images/3154547769/6429525b9fba326a60ab0010d2fb154d.jpeg","View")</f>
        <v>View</v>
      </c>
    </row>
    <row r="415" spans="1:21" ht="51">
      <c r="A415" s="6">
        <v>43440.861064814817</v>
      </c>
      <c r="B415" s="7" t="str">
        <f>HYPERLINK("https://twitter.com/diegodelacruz","@diegodelacruz")</f>
        <v>@diegodelacruz</v>
      </c>
      <c r="C415" s="8" t="s">
        <v>1611</v>
      </c>
      <c r="D415" s="9" t="s">
        <v>1612</v>
      </c>
      <c r="E415" s="10" t="str">
        <f>HYPERLINK("https://twitter.com/diegodelacruz/status/1070764800244899840","1070764800244899840")</f>
        <v>1070764800244899840</v>
      </c>
      <c r="F415" s="12"/>
      <c r="G415" s="12"/>
      <c r="H415" s="12"/>
      <c r="I415" s="13">
        <v>22</v>
      </c>
      <c r="J415" s="13">
        <v>70</v>
      </c>
      <c r="K415" s="14" t="str">
        <f>HYPERLINK("http://twitter.com/download/iphone","Twitter for iPhone")</f>
        <v>Twitter for iPhone</v>
      </c>
      <c r="L415" s="13">
        <v>28071</v>
      </c>
      <c r="M415" s="13">
        <v>984</v>
      </c>
      <c r="N415" s="13">
        <v>627</v>
      </c>
      <c r="O415" s="19" t="s">
        <v>44</v>
      </c>
      <c r="P415" s="6">
        <v>39889.889328703706</v>
      </c>
      <c r="Q415" s="16" t="s">
        <v>191</v>
      </c>
      <c r="R415" s="17" t="s">
        <v>1613</v>
      </c>
      <c r="S415" s="11" t="s">
        <v>1614</v>
      </c>
      <c r="T415" s="12"/>
      <c r="U415" s="10" t="str">
        <f>HYPERLINK("https://pbs.twimg.com/profile_images/957128899934261248/LQ0lBJVI.jpg","View")</f>
        <v>View</v>
      </c>
    </row>
    <row r="416" spans="1:21" ht="30.6">
      <c r="A416" s="6">
        <v>43440.86001157407</v>
      </c>
      <c r="B416" s="7" t="str">
        <f>HYPERLINK("https://twitter.com/quetemuevas","@quetemuevas")</f>
        <v>@quetemuevas</v>
      </c>
      <c r="C416" s="8" t="s">
        <v>1615</v>
      </c>
      <c r="D416" s="9" t="s">
        <v>1209</v>
      </c>
      <c r="E416" s="10" t="str">
        <f>HYPERLINK("https://twitter.com/quetemuevas/status/1070764416428331010","1070764416428331010")</f>
        <v>1070764416428331010</v>
      </c>
      <c r="F416" s="11" t="s">
        <v>621</v>
      </c>
      <c r="G416" s="12"/>
      <c r="H416" s="12"/>
      <c r="I416" s="13">
        <v>1</v>
      </c>
      <c r="J416" s="13">
        <v>3</v>
      </c>
      <c r="K416" s="14" t="str">
        <f t="shared" ref="K416:K417" si="85">HYPERLINK("http://twitter.com","Twitter Web Client")</f>
        <v>Twitter Web Client</v>
      </c>
      <c r="L416" s="13">
        <v>28564</v>
      </c>
      <c r="M416" s="13">
        <v>24964</v>
      </c>
      <c r="N416" s="13">
        <v>194</v>
      </c>
      <c r="O416" s="15"/>
      <c r="P416" s="6">
        <v>41145.67900462963</v>
      </c>
      <c r="Q416" s="16" t="s">
        <v>1616</v>
      </c>
      <c r="R416" s="17" t="s">
        <v>1617</v>
      </c>
      <c r="S416" s="12"/>
      <c r="T416" s="12"/>
      <c r="U416" s="10" t="str">
        <f>HYPERLINK("https://pbs.twimg.com/profile_images/468505705226326016/a4602TfF.jpeg","View")</f>
        <v>View</v>
      </c>
    </row>
    <row r="417" spans="1:21" ht="40.799999999999997">
      <c r="A417" s="6">
        <v>43440.856898148151</v>
      </c>
      <c r="B417" s="7" t="str">
        <f>HYPERLINK("https://twitter.com/Sanfermin00","@Sanfermin00")</f>
        <v>@Sanfermin00</v>
      </c>
      <c r="C417" s="8" t="s">
        <v>1618</v>
      </c>
      <c r="D417" s="9" t="s">
        <v>1214</v>
      </c>
      <c r="E417" s="10" t="str">
        <f>HYPERLINK("https://twitter.com/Sanfermin00/status/1070763290580709376","1070763290580709376")</f>
        <v>1070763290580709376</v>
      </c>
      <c r="F417" s="11" t="s">
        <v>1215</v>
      </c>
      <c r="G417" s="12"/>
      <c r="H417" s="12"/>
      <c r="I417" s="13">
        <v>3</v>
      </c>
      <c r="J417" s="13">
        <v>1</v>
      </c>
      <c r="K417" s="14" t="str">
        <f t="shared" si="85"/>
        <v>Twitter Web Client</v>
      </c>
      <c r="L417" s="13">
        <v>16528</v>
      </c>
      <c r="M417" s="13">
        <v>13714</v>
      </c>
      <c r="N417" s="13">
        <v>122</v>
      </c>
      <c r="O417" s="15"/>
      <c r="P417" s="6">
        <v>42362.637083333335</v>
      </c>
      <c r="Q417" s="16" t="s">
        <v>1619</v>
      </c>
      <c r="R417" s="17" t="s">
        <v>1620</v>
      </c>
      <c r="S417" s="11" t="s">
        <v>1621</v>
      </c>
      <c r="T417" s="12"/>
      <c r="U417" s="10" t="str">
        <f>HYPERLINK("https://pbs.twimg.com/profile_images/1064102923624480768/j11dV2-u.jpg","View")</f>
        <v>View</v>
      </c>
    </row>
    <row r="418" spans="1:21" ht="40.799999999999997">
      <c r="A418" s="6">
        <v>43440.854849537034</v>
      </c>
      <c r="B418" s="7" t="str">
        <f>HYPERLINK("https://twitter.com/AlbertoCelia","@AlbertoCelia")</f>
        <v>@AlbertoCelia</v>
      </c>
      <c r="C418" s="8" t="s">
        <v>1622</v>
      </c>
      <c r="D418" s="9" t="s">
        <v>1623</v>
      </c>
      <c r="E418" s="10" t="str">
        <f>HYPERLINK("https://twitter.com/AlbertoCelia/status/1070762545932308480","1070762545932308480")</f>
        <v>1070762545932308480</v>
      </c>
      <c r="F418" s="11" t="s">
        <v>1129</v>
      </c>
      <c r="G418" s="12"/>
      <c r="H418" s="12"/>
      <c r="I418" s="13">
        <v>0</v>
      </c>
      <c r="J418" s="13">
        <v>2</v>
      </c>
      <c r="K418" s="14" t="str">
        <f>HYPERLINK("http://www.facebook.com/twitter","Facebook")</f>
        <v>Facebook</v>
      </c>
      <c r="L418" s="13">
        <v>758</v>
      </c>
      <c r="M418" s="13">
        <v>189</v>
      </c>
      <c r="N418" s="13">
        <v>30</v>
      </c>
      <c r="O418" s="19" t="s">
        <v>44</v>
      </c>
      <c r="P418" s="6">
        <v>40674.056226851855</v>
      </c>
      <c r="Q418" s="16" t="s">
        <v>1624</v>
      </c>
      <c r="R418" s="17" t="s">
        <v>1625</v>
      </c>
      <c r="S418" s="12"/>
      <c r="T418" s="12"/>
      <c r="U418" s="10" t="str">
        <f>HYPERLINK("https://pbs.twimg.com/profile_images/667060109248503808/XPCg8l7U.jpg","View")</f>
        <v>View</v>
      </c>
    </row>
    <row r="419" spans="1:21" ht="30.6">
      <c r="A419" s="6">
        <v>43440.85256944444</v>
      </c>
      <c r="B419" s="7" t="str">
        <f>HYPERLINK("https://twitter.com/juliquintilla","@juliquintilla")</f>
        <v>@juliquintilla</v>
      </c>
      <c r="C419" s="8" t="s">
        <v>1626</v>
      </c>
      <c r="D419" s="9" t="s">
        <v>1209</v>
      </c>
      <c r="E419" s="10" t="str">
        <f>HYPERLINK("https://twitter.com/juliquintilla/status/1070761721629954048","1070761721629954048")</f>
        <v>1070761721629954048</v>
      </c>
      <c r="F419" s="11" t="s">
        <v>621</v>
      </c>
      <c r="G419" s="12"/>
      <c r="H419" s="12"/>
      <c r="I419" s="13">
        <v>0</v>
      </c>
      <c r="J419" s="13">
        <v>0</v>
      </c>
      <c r="K419" s="14" t="str">
        <f>HYPERLINK("http://twitter.com","Twitter Web Client")</f>
        <v>Twitter Web Client</v>
      </c>
      <c r="L419" s="13">
        <v>153</v>
      </c>
      <c r="M419" s="13">
        <v>1244</v>
      </c>
      <c r="N419" s="13">
        <v>8</v>
      </c>
      <c r="O419" s="15"/>
      <c r="P419" s="6">
        <v>41133.71570601852</v>
      </c>
      <c r="Q419" s="12"/>
      <c r="R419" s="20"/>
      <c r="S419" s="12"/>
      <c r="T419" s="12"/>
      <c r="U419" s="10" t="str">
        <f>HYPERLINK("https://pbs.twimg.com/profile_images/1070742147048067073/OLZMXwDh.jpg","View")</f>
        <v>View</v>
      </c>
    </row>
    <row r="420" spans="1:21" ht="30.6">
      <c r="A420" s="6">
        <v>43440.852060185185</v>
      </c>
      <c r="B420" s="7" t="str">
        <f>HYPERLINK("https://twitter.com/scgct","@scgct")</f>
        <v>@scgct</v>
      </c>
      <c r="C420" s="8" t="s">
        <v>1627</v>
      </c>
      <c r="D420" s="9" t="s">
        <v>1628</v>
      </c>
      <c r="E420" s="10" t="str">
        <f>HYPERLINK("https://twitter.com/scgct/status/1070761537491623936","1070761537491623936")</f>
        <v>1070761537491623936</v>
      </c>
      <c r="F420" s="11" t="s">
        <v>1629</v>
      </c>
      <c r="G420" s="12"/>
      <c r="H420" s="12"/>
      <c r="I420" s="13">
        <v>0</v>
      </c>
      <c r="J420" s="13">
        <v>0</v>
      </c>
      <c r="K420" s="14" t="str">
        <f>HYPERLINK("http://twitter.com/download/iphone","Twitter for iPhone")</f>
        <v>Twitter for iPhone</v>
      </c>
      <c r="L420" s="13">
        <v>427</v>
      </c>
      <c r="M420" s="13">
        <v>851</v>
      </c>
      <c r="N420" s="13">
        <v>5</v>
      </c>
      <c r="O420" s="15"/>
      <c r="P420" s="6">
        <v>40609.554618055554</v>
      </c>
      <c r="Q420" s="16" t="s">
        <v>48</v>
      </c>
      <c r="R420" s="17" t="s">
        <v>1630</v>
      </c>
      <c r="S420" s="12"/>
      <c r="T420" s="12"/>
      <c r="U420" s="10" t="str">
        <f>HYPERLINK("https://pbs.twimg.com/profile_images/2409802832/o9cs6k6zaf0d1lay6f7m.jpeg","View")</f>
        <v>View</v>
      </c>
    </row>
    <row r="421" spans="1:21" ht="40.799999999999997">
      <c r="A421" s="6">
        <v>43440.850243055553</v>
      </c>
      <c r="B421" s="7" t="str">
        <f>HYPERLINK("https://twitter.com/GarciaCarmonaAM","@GarciaCarmonaAM")</f>
        <v>@GarciaCarmonaAM</v>
      </c>
      <c r="C421" s="8" t="s">
        <v>1631</v>
      </c>
      <c r="D421" s="9" t="s">
        <v>1632</v>
      </c>
      <c r="E421" s="10" t="str">
        <f>HYPERLINK("https://twitter.com/GarciaCarmonaAM/status/1070760876939112449","1070760876939112449")</f>
        <v>1070760876939112449</v>
      </c>
      <c r="F421" s="11" t="s">
        <v>1083</v>
      </c>
      <c r="G421" s="12"/>
      <c r="H421" s="12"/>
      <c r="I421" s="13">
        <v>0</v>
      </c>
      <c r="J421" s="13">
        <v>0</v>
      </c>
      <c r="K421" s="14" t="str">
        <f>HYPERLINK("http://twitter.com/download/android","Twitter for Android")</f>
        <v>Twitter for Android</v>
      </c>
      <c r="L421" s="13">
        <v>2728</v>
      </c>
      <c r="M421" s="13">
        <v>2516</v>
      </c>
      <c r="N421" s="13">
        <v>109</v>
      </c>
      <c r="O421" s="15"/>
      <c r="P421" s="6">
        <v>39995.782766203702</v>
      </c>
      <c r="Q421" s="16" t="s">
        <v>1633</v>
      </c>
      <c r="R421" s="17" t="s">
        <v>1634</v>
      </c>
      <c r="S421" s="11" t="s">
        <v>1635</v>
      </c>
      <c r="T421" s="12"/>
      <c r="U421" s="10" t="str">
        <f>HYPERLINK("https://pbs.twimg.com/profile_images/1061276482830516224/m6xQAoDS.jpg","View")</f>
        <v>View</v>
      </c>
    </row>
    <row r="422" spans="1:21" ht="30.6">
      <c r="A422" s="6">
        <v>43440.847164351857</v>
      </c>
      <c r="B422" s="7" t="str">
        <f>HYPERLINK("https://twitter.com/Topepeloz","@Topepeloz")</f>
        <v>@Topepeloz</v>
      </c>
      <c r="C422" s="8" t="s">
        <v>1636</v>
      </c>
      <c r="D422" s="9" t="s">
        <v>1637</v>
      </c>
      <c r="E422" s="10" t="str">
        <f>HYPERLINK("https://twitter.com/Topepeloz/status/1070759759467462656","1070759759467462656")</f>
        <v>1070759759467462656</v>
      </c>
      <c r="F422" s="11" t="s">
        <v>1531</v>
      </c>
      <c r="G422" s="12"/>
      <c r="H422" s="12"/>
      <c r="I422" s="13">
        <v>0</v>
      </c>
      <c r="J422" s="13">
        <v>0</v>
      </c>
      <c r="K422" s="14" t="str">
        <f>HYPERLINK("http://twitter.com/download/iphone","Twitter for iPhone")</f>
        <v>Twitter for iPhone</v>
      </c>
      <c r="L422" s="13">
        <v>3587</v>
      </c>
      <c r="M422" s="13">
        <v>3443</v>
      </c>
      <c r="N422" s="13">
        <v>27</v>
      </c>
      <c r="O422" s="15"/>
      <c r="P422" s="6">
        <v>41407.774664351848</v>
      </c>
      <c r="Q422" s="16" t="s">
        <v>1638</v>
      </c>
      <c r="R422" s="17" t="s">
        <v>1639</v>
      </c>
      <c r="S422" s="11" t="s">
        <v>1640</v>
      </c>
      <c r="T422" s="12"/>
      <c r="U422" s="10" t="str">
        <f>HYPERLINK("https://pbs.twimg.com/profile_images/997887928935374848/s8b-7y-D.jpg","View")</f>
        <v>View</v>
      </c>
    </row>
    <row r="423" spans="1:21" ht="51">
      <c r="A423" s="6">
        <v>43440.844212962962</v>
      </c>
      <c r="B423" s="7" t="str">
        <f>HYPERLINK("https://twitter.com/madalena_49","@madalena_49")</f>
        <v>@madalena_49</v>
      </c>
      <c r="C423" s="8" t="s">
        <v>1641</v>
      </c>
      <c r="D423" s="9" t="s">
        <v>1642</v>
      </c>
      <c r="E423" s="10" t="str">
        <f>HYPERLINK("https://twitter.com/madalena_49/status/1070758691304022018","1070758691304022018")</f>
        <v>1070758691304022018</v>
      </c>
      <c r="F423" s="12"/>
      <c r="G423" s="12"/>
      <c r="H423" s="12"/>
      <c r="I423" s="13">
        <v>0</v>
      </c>
      <c r="J423" s="13">
        <v>0</v>
      </c>
      <c r="K423" s="14" t="str">
        <f>HYPERLINK("http://twitter.com/download/android","Twitter for Android")</f>
        <v>Twitter for Android</v>
      </c>
      <c r="L423" s="13">
        <v>115</v>
      </c>
      <c r="M423" s="13">
        <v>84</v>
      </c>
      <c r="N423" s="13">
        <v>9</v>
      </c>
      <c r="O423" s="15"/>
      <c r="P423" s="6">
        <v>41447.906168981484</v>
      </c>
      <c r="Q423" s="12"/>
      <c r="R423" s="17" t="s">
        <v>1643</v>
      </c>
      <c r="S423" s="12"/>
      <c r="T423" s="12"/>
      <c r="U423" s="10" t="str">
        <f>HYPERLINK("https://pbs.twimg.com/profile_images/632118008320761856/bVpjbcso.jpg","View")</f>
        <v>View</v>
      </c>
    </row>
    <row r="424" spans="1:21" ht="40.799999999999997">
      <c r="A424" s="6">
        <v>43440.843807870369</v>
      </c>
      <c r="B424" s="7" t="str">
        <f>HYPERLINK("https://twitter.com/lextresabogados","@lextresabogados")</f>
        <v>@lextresabogados</v>
      </c>
      <c r="C424" s="8" t="s">
        <v>1379</v>
      </c>
      <c r="D424" s="9" t="s">
        <v>1644</v>
      </c>
      <c r="E424" s="10" t="str">
        <f>HYPERLINK("https://twitter.com/lextresabogados/status/1070758544855699456","1070758544855699456")</f>
        <v>1070758544855699456</v>
      </c>
      <c r="F424" s="11" t="s">
        <v>1645</v>
      </c>
      <c r="G424" s="11" t="s">
        <v>1646</v>
      </c>
      <c r="H424" s="12"/>
      <c r="I424" s="13">
        <v>0</v>
      </c>
      <c r="J424" s="13">
        <v>0</v>
      </c>
      <c r="K424" s="14" t="str">
        <f>HYPERLINK("http://35.180.36.179","botize nueva")</f>
        <v>botize nueva</v>
      </c>
      <c r="L424" s="13">
        <v>2912</v>
      </c>
      <c r="M424" s="13">
        <v>3525</v>
      </c>
      <c r="N424" s="13">
        <v>26</v>
      </c>
      <c r="O424" s="15"/>
      <c r="P424" s="6">
        <v>42880.770949074074</v>
      </c>
      <c r="Q424" s="16" t="s">
        <v>1130</v>
      </c>
      <c r="R424" s="17" t="s">
        <v>1383</v>
      </c>
      <c r="S424" s="11" t="s">
        <v>1384</v>
      </c>
      <c r="T424" s="12"/>
      <c r="U424" s="10" t="str">
        <f>HYPERLINK("https://pbs.twimg.com/profile_images/1068056978679898113/YnjKwiVy.jpg","View")</f>
        <v>View</v>
      </c>
    </row>
    <row r="425" spans="1:21" ht="40.799999999999997">
      <c r="A425" s="6">
        <v>43440.84375</v>
      </c>
      <c r="B425" s="7" t="str">
        <f>HYPERLINK("https://twitter.com/larazon_es","@larazon_es")</f>
        <v>@larazon_es</v>
      </c>
      <c r="C425" s="8" t="s">
        <v>178</v>
      </c>
      <c r="D425" s="9" t="s">
        <v>1647</v>
      </c>
      <c r="E425" s="10" t="str">
        <f>HYPERLINK("https://twitter.com/larazon_es/status/1070758525683552262","1070758525683552262")</f>
        <v>1070758525683552262</v>
      </c>
      <c r="F425" s="11" t="s">
        <v>1645</v>
      </c>
      <c r="G425" s="11" t="s">
        <v>1648</v>
      </c>
      <c r="H425" s="12"/>
      <c r="I425" s="13">
        <v>3</v>
      </c>
      <c r="J425" s="13">
        <v>8</v>
      </c>
      <c r="K425" s="14" t="str">
        <f>HYPERLINK("http://dogtrack.es","DogTrack_Oficial")</f>
        <v>DogTrack_Oficial</v>
      </c>
      <c r="L425" s="13">
        <v>442246</v>
      </c>
      <c r="M425" s="13">
        <v>2961</v>
      </c>
      <c r="N425" s="13">
        <v>6162</v>
      </c>
      <c r="O425" s="19" t="s">
        <v>44</v>
      </c>
      <c r="P425" s="6">
        <v>40218.530092592591</v>
      </c>
      <c r="Q425" s="16" t="s">
        <v>48</v>
      </c>
      <c r="R425" s="17" t="s">
        <v>181</v>
      </c>
      <c r="S425" s="11" t="s">
        <v>183</v>
      </c>
      <c r="T425" s="12"/>
      <c r="U425" s="10" t="str">
        <f>HYPERLINK("https://pbs.twimg.com/profile_images/1038331271108341762/TPuwz6wc.jpg","View")</f>
        <v>View</v>
      </c>
    </row>
    <row r="426" spans="1:21" ht="30.6">
      <c r="A426" s="6">
        <v>43440.84311342593</v>
      </c>
      <c r="B426" s="7" t="str">
        <f>HYPERLINK("https://twitter.com/socBatman","@socBatman")</f>
        <v>@socBatman</v>
      </c>
      <c r="C426" s="8" t="s">
        <v>1649</v>
      </c>
      <c r="D426" s="9" t="s">
        <v>1650</v>
      </c>
      <c r="E426" s="10" t="str">
        <f>HYPERLINK("https://twitter.com/socBatman/status/1070758292807397376","1070758292807397376")</f>
        <v>1070758292807397376</v>
      </c>
      <c r="F426" s="11" t="s">
        <v>1176</v>
      </c>
      <c r="G426" s="12"/>
      <c r="H426" s="12"/>
      <c r="I426" s="13">
        <v>0</v>
      </c>
      <c r="J426" s="13">
        <v>0</v>
      </c>
      <c r="K426" s="14" t="str">
        <f>HYPERLINK("http://twitter.com","Twitter Web Client")</f>
        <v>Twitter Web Client</v>
      </c>
      <c r="L426" s="13">
        <v>443</v>
      </c>
      <c r="M426" s="13">
        <v>1317</v>
      </c>
      <c r="N426" s="13">
        <v>1</v>
      </c>
      <c r="O426" s="15"/>
      <c r="P426" s="6">
        <v>43013.288819444446</v>
      </c>
      <c r="Q426" s="16" t="s">
        <v>816</v>
      </c>
      <c r="R426" s="17" t="s">
        <v>1651</v>
      </c>
      <c r="S426" s="12"/>
      <c r="T426" s="12"/>
      <c r="U426" s="10" t="str">
        <f>HYPERLINK("https://pbs.twimg.com/profile_images/936165524131713024/lQFFt3ue.jpg","View")</f>
        <v>View</v>
      </c>
    </row>
    <row r="427" spans="1:21" ht="30.6">
      <c r="A427" s="6">
        <v>43440.842546296291</v>
      </c>
      <c r="B427" s="7" t="str">
        <f>HYPERLINK("https://twitter.com/ManuMediavilla","@ManuMediavilla")</f>
        <v>@ManuMediavilla</v>
      </c>
      <c r="C427" s="8" t="s">
        <v>1652</v>
      </c>
      <c r="D427" s="9" t="s">
        <v>1653</v>
      </c>
      <c r="E427" s="10" t="str">
        <f>HYPERLINK("https://twitter.com/ManuMediavilla/status/1070758088737808384","1070758088737808384")</f>
        <v>1070758088737808384</v>
      </c>
      <c r="F427" s="11" t="s">
        <v>141</v>
      </c>
      <c r="G427" s="12"/>
      <c r="H427" s="12"/>
      <c r="I427" s="13">
        <v>0</v>
      </c>
      <c r="J427" s="13">
        <v>0</v>
      </c>
      <c r="K427" s="14" t="str">
        <f>HYPERLINK("http://twitter.com/download/android","Twitter for Android")</f>
        <v>Twitter for Android</v>
      </c>
      <c r="L427" s="13">
        <v>1263</v>
      </c>
      <c r="M427" s="13">
        <v>2040</v>
      </c>
      <c r="N427" s="13">
        <v>75</v>
      </c>
      <c r="O427" s="15"/>
      <c r="P427" s="6">
        <v>40292.011574074073</v>
      </c>
      <c r="Q427" s="16" t="s">
        <v>191</v>
      </c>
      <c r="R427" s="17" t="s">
        <v>1654</v>
      </c>
      <c r="S427" s="12"/>
      <c r="T427" s="12"/>
      <c r="U427" s="10" t="str">
        <f>HYPERLINK("https://pbs.twimg.com/profile_images/788414400998862848/aYmIUlfy.jpg","View")</f>
        <v>View</v>
      </c>
    </row>
    <row r="428" spans="1:21" ht="30.6">
      <c r="A428" s="6">
        <v>43440.841331018513</v>
      </c>
      <c r="B428" s="7" t="str">
        <f>HYPERLINK("https://twitter.com/king_chicha","@king_chicha")</f>
        <v>@king_chicha</v>
      </c>
      <c r="C428" s="8" t="s">
        <v>1655</v>
      </c>
      <c r="D428" s="9" t="s">
        <v>1656</v>
      </c>
      <c r="E428" s="10" t="str">
        <f>HYPERLINK("https://twitter.com/king_chicha/status/1070757648633614338","1070757648633614338")</f>
        <v>1070757648633614338</v>
      </c>
      <c r="F428" s="11" t="s">
        <v>1344</v>
      </c>
      <c r="G428" s="12"/>
      <c r="H428" s="12"/>
      <c r="I428" s="13">
        <v>0</v>
      </c>
      <c r="J428" s="13">
        <v>1</v>
      </c>
      <c r="K428" s="14" t="str">
        <f>HYPERLINK("http://twitter.com/download/iphone","Twitter for iPhone")</f>
        <v>Twitter for iPhone</v>
      </c>
      <c r="L428" s="13">
        <v>129</v>
      </c>
      <c r="M428" s="13">
        <v>237</v>
      </c>
      <c r="N428" s="13">
        <v>0</v>
      </c>
      <c r="O428" s="15"/>
      <c r="P428" s="6">
        <v>42918.483958333338</v>
      </c>
      <c r="Q428" s="12"/>
      <c r="R428" s="20"/>
      <c r="S428" s="12"/>
      <c r="T428" s="12"/>
      <c r="U428" s="10" t="str">
        <f>HYPERLINK("https://pbs.twimg.com/profile_images/881449369266003968/CK_fPkdn.jpg","View")</f>
        <v>View</v>
      </c>
    </row>
    <row r="429" spans="1:21" ht="30.6">
      <c r="A429" s="6">
        <v>43440.839918981481</v>
      </c>
      <c r="B429" s="7" t="str">
        <f>HYPERLINK("https://twitter.com/cadencia2","@cadencia2")</f>
        <v>@cadencia2</v>
      </c>
      <c r="C429" s="8" t="s">
        <v>1657</v>
      </c>
      <c r="D429" s="9" t="s">
        <v>1409</v>
      </c>
      <c r="E429" s="10" t="str">
        <f>HYPERLINK("https://twitter.com/cadencia2/status/1070757134747533312","1070757134747533312")</f>
        <v>1070757134747533312</v>
      </c>
      <c r="F429" s="11" t="s">
        <v>1176</v>
      </c>
      <c r="G429" s="12"/>
      <c r="H429" s="12"/>
      <c r="I429" s="13">
        <v>2</v>
      </c>
      <c r="J429" s="13">
        <v>3</v>
      </c>
      <c r="K429" s="14" t="str">
        <f t="shared" ref="K429:K431" si="86">HYPERLINK("http://twitter.com/download/android","Twitter for Android")</f>
        <v>Twitter for Android</v>
      </c>
      <c r="L429" s="13">
        <v>6334</v>
      </c>
      <c r="M429" s="13">
        <v>1848</v>
      </c>
      <c r="N429" s="13">
        <v>40</v>
      </c>
      <c r="O429" s="15"/>
      <c r="P429" s="6">
        <v>41850.38422453704</v>
      </c>
      <c r="Q429" s="16" t="s">
        <v>48</v>
      </c>
      <c r="R429" s="17" t="s">
        <v>1658</v>
      </c>
      <c r="S429" s="12"/>
      <c r="T429" s="12"/>
      <c r="U429" s="10" t="str">
        <f>HYPERLINK("https://pbs.twimg.com/profile_images/629236882937876480/BDE9DYiA.jpg","View")</f>
        <v>View</v>
      </c>
    </row>
    <row r="430" spans="1:21" ht="30.6">
      <c r="A430" s="6">
        <v>43440.839814814812</v>
      </c>
      <c r="B430" s="7" t="str">
        <f>HYPERLINK("https://twitter.com/EllaesRosana","@EllaesRosana")</f>
        <v>@EllaesRosana</v>
      </c>
      <c r="C430" s="8" t="s">
        <v>1659</v>
      </c>
      <c r="D430" s="9" t="s">
        <v>1409</v>
      </c>
      <c r="E430" s="10" t="str">
        <f>HYPERLINK("https://twitter.com/EllaesRosana/status/1070757099976736769","1070757099976736769")</f>
        <v>1070757099976736769</v>
      </c>
      <c r="F430" s="11" t="s">
        <v>1176</v>
      </c>
      <c r="G430" s="12"/>
      <c r="H430" s="12"/>
      <c r="I430" s="13">
        <v>1</v>
      </c>
      <c r="J430" s="13">
        <v>0</v>
      </c>
      <c r="K430" s="14" t="str">
        <f t="shared" si="86"/>
        <v>Twitter for Android</v>
      </c>
      <c r="L430" s="13">
        <v>9460</v>
      </c>
      <c r="M430" s="13">
        <v>1428</v>
      </c>
      <c r="N430" s="13">
        <v>86</v>
      </c>
      <c r="O430" s="15"/>
      <c r="P430" s="6">
        <v>41322.4221875</v>
      </c>
      <c r="Q430" s="16" t="s">
        <v>1660</v>
      </c>
      <c r="R430" s="17" t="s">
        <v>1661</v>
      </c>
      <c r="S430" s="12"/>
      <c r="T430" s="12"/>
      <c r="U430" s="10" t="str">
        <f>HYPERLINK("https://pbs.twimg.com/profile_images/487182214723956736/6uk257mm.jpeg","View")</f>
        <v>View</v>
      </c>
    </row>
    <row r="431" spans="1:21" ht="30.6">
      <c r="A431" s="6">
        <v>43440.839733796296</v>
      </c>
      <c r="B431" s="7" t="str">
        <f>HYPERLINK("https://twitter.com/PSOEparticipe","@PSOEparticipe")</f>
        <v>@PSOEparticipe</v>
      </c>
      <c r="C431" s="8" t="s">
        <v>1662</v>
      </c>
      <c r="D431" s="9" t="s">
        <v>1409</v>
      </c>
      <c r="E431" s="10" t="str">
        <f>HYPERLINK("https://twitter.com/PSOEparticipe/status/1070757066858528768","1070757066858528768")</f>
        <v>1070757066858528768</v>
      </c>
      <c r="F431" s="11" t="s">
        <v>1176</v>
      </c>
      <c r="G431" s="12"/>
      <c r="H431" s="12"/>
      <c r="I431" s="13">
        <v>1</v>
      </c>
      <c r="J431" s="13">
        <v>0</v>
      </c>
      <c r="K431" s="14" t="str">
        <f t="shared" si="86"/>
        <v>Twitter for Android</v>
      </c>
      <c r="L431" s="13">
        <v>5253</v>
      </c>
      <c r="M431" s="13">
        <v>2895</v>
      </c>
      <c r="N431" s="13">
        <v>30</v>
      </c>
      <c r="O431" s="15"/>
      <c r="P431" s="6">
        <v>42705.594768518524</v>
      </c>
      <c r="Q431" s="16" t="s">
        <v>48</v>
      </c>
      <c r="R431" s="17" t="s">
        <v>1663</v>
      </c>
      <c r="S431" s="12"/>
      <c r="T431" s="12"/>
      <c r="U431" s="10" t="str">
        <f>HYPERLINK("https://pbs.twimg.com/profile_images/804378266907852801/P645Le2H.jpg","View")</f>
        <v>View</v>
      </c>
    </row>
    <row r="432" spans="1:21" ht="30.6">
      <c r="A432" s="6">
        <v>43440.839583333334</v>
      </c>
      <c r="B432" s="7" t="str">
        <f>HYPERLINK("https://twitter.com/publico_es","@publico_es")</f>
        <v>@publico_es</v>
      </c>
      <c r="C432" s="8" t="s">
        <v>862</v>
      </c>
      <c r="D432" s="9" t="s">
        <v>1664</v>
      </c>
      <c r="E432" s="10" t="str">
        <f>HYPERLINK("https://twitter.com/publico_es/status/1070757013532106752","1070757013532106752")</f>
        <v>1070757013532106752</v>
      </c>
      <c r="F432" s="11" t="s">
        <v>1665</v>
      </c>
      <c r="G432" s="12"/>
      <c r="H432" s="12"/>
      <c r="I432" s="13">
        <v>32</v>
      </c>
      <c r="J432" s="13">
        <v>40</v>
      </c>
      <c r="K432" s="14" t="str">
        <f>HYPERLINK("https://about.twitter.com/products/tweetdeck","TweetDeck")</f>
        <v>TweetDeck</v>
      </c>
      <c r="L432" s="13">
        <v>913667</v>
      </c>
      <c r="M432" s="13">
        <v>1457</v>
      </c>
      <c r="N432" s="13">
        <v>14848</v>
      </c>
      <c r="O432" s="19" t="s">
        <v>44</v>
      </c>
      <c r="P432" s="6">
        <v>39779.559525462959</v>
      </c>
      <c r="Q432" s="16" t="s">
        <v>109</v>
      </c>
      <c r="R432" s="17" t="s">
        <v>865</v>
      </c>
      <c r="S432" s="11" t="s">
        <v>866</v>
      </c>
      <c r="T432" s="12"/>
      <c r="U432" s="10" t="str">
        <f>HYPERLINK("https://pbs.twimg.com/profile_images/1048242435682422786/FdzZWHU8.jpg","View")</f>
        <v>View</v>
      </c>
    </row>
    <row r="433" spans="1:21" ht="30.6">
      <c r="A433" s="6">
        <v>43440.836770833332</v>
      </c>
      <c r="B433" s="7" t="str">
        <f>HYPERLINK("https://twitter.com/king_chicha","@king_chicha")</f>
        <v>@king_chicha</v>
      </c>
      <c r="C433" s="8" t="s">
        <v>1655</v>
      </c>
      <c r="D433" s="9" t="s">
        <v>1666</v>
      </c>
      <c r="E433" s="10" t="str">
        <f>HYPERLINK("https://twitter.com/king_chicha/status/1070755994467254272","1070755994467254272")</f>
        <v>1070755994467254272</v>
      </c>
      <c r="F433" s="11" t="s">
        <v>1531</v>
      </c>
      <c r="G433" s="12"/>
      <c r="H433" s="12"/>
      <c r="I433" s="13">
        <v>0</v>
      </c>
      <c r="J433" s="13">
        <v>0</v>
      </c>
      <c r="K433" s="14" t="str">
        <f>HYPERLINK("http://twitter.com/download/iphone","Twitter for iPhone")</f>
        <v>Twitter for iPhone</v>
      </c>
      <c r="L433" s="13">
        <v>129</v>
      </c>
      <c r="M433" s="13">
        <v>237</v>
      </c>
      <c r="N433" s="13">
        <v>0</v>
      </c>
      <c r="O433" s="15"/>
      <c r="P433" s="6">
        <v>42918.483958333338</v>
      </c>
      <c r="Q433" s="12"/>
      <c r="R433" s="20"/>
      <c r="S433" s="12"/>
      <c r="T433" s="12"/>
      <c r="U433" s="10" t="str">
        <f>HYPERLINK("https://pbs.twimg.com/profile_images/881449369266003968/CK_fPkdn.jpg","View")</f>
        <v>View</v>
      </c>
    </row>
    <row r="434" spans="1:21" ht="40.799999999999997">
      <c r="A434" s="6">
        <v>43440.836215277777</v>
      </c>
      <c r="B434" s="7" t="str">
        <f>HYPERLINK("https://twitter.com/Guadalupbragado","@Guadalupbragado")</f>
        <v>@Guadalupbragado</v>
      </c>
      <c r="C434" s="8" t="s">
        <v>1667</v>
      </c>
      <c r="D434" s="9" t="s">
        <v>1668</v>
      </c>
      <c r="E434" s="10" t="str">
        <f>HYPERLINK("https://twitter.com/Guadalupbragado/status/1070755793698480129","1070755793698480129")</f>
        <v>1070755793698480129</v>
      </c>
      <c r="F434" s="11" t="s">
        <v>1129</v>
      </c>
      <c r="G434" s="12"/>
      <c r="H434" s="12"/>
      <c r="I434" s="13">
        <v>0</v>
      </c>
      <c r="J434" s="13">
        <v>0</v>
      </c>
      <c r="K434" s="14" t="str">
        <f>HYPERLINK("http://twitter.com/download/android","Twitter for Android")</f>
        <v>Twitter for Android</v>
      </c>
      <c r="L434" s="13">
        <v>2166</v>
      </c>
      <c r="M434" s="13">
        <v>1164</v>
      </c>
      <c r="N434" s="13">
        <v>145</v>
      </c>
      <c r="O434" s="15"/>
      <c r="P434" s="6">
        <v>41291.88417824074</v>
      </c>
      <c r="Q434" s="16" t="s">
        <v>30</v>
      </c>
      <c r="R434" s="17" t="s">
        <v>1669</v>
      </c>
      <c r="S434" s="11" t="s">
        <v>1670</v>
      </c>
      <c r="T434" s="12"/>
      <c r="U434" s="10" t="str">
        <f>HYPERLINK("https://pbs.twimg.com/profile_images/1047569124220657664/Fmljmoqf.jpg","View")</f>
        <v>View</v>
      </c>
    </row>
    <row r="435" spans="1:21" ht="51">
      <c r="A435" s="6">
        <v>43440.835520833338</v>
      </c>
      <c r="B435" s="7" t="str">
        <f>HYPERLINK("https://twitter.com/almunyecar","@almunyecar")</f>
        <v>@almunyecar</v>
      </c>
      <c r="C435" s="8" t="s">
        <v>1672</v>
      </c>
      <c r="D435" s="9" t="s">
        <v>1673</v>
      </c>
      <c r="E435" s="10" t="str">
        <f>HYPERLINK("https://twitter.com/almunyecar/status/1070755542942081024","1070755542942081024")</f>
        <v>1070755542942081024</v>
      </c>
      <c r="F435" s="12"/>
      <c r="G435" s="12"/>
      <c r="H435" s="12"/>
      <c r="I435" s="13">
        <v>0</v>
      </c>
      <c r="J435" s="13">
        <v>0</v>
      </c>
      <c r="K435" s="14" t="str">
        <f>HYPERLINK("https://mobile.twitter.com","Twitter Lite")</f>
        <v>Twitter Lite</v>
      </c>
      <c r="L435" s="13">
        <v>3678</v>
      </c>
      <c r="M435" s="13">
        <v>3378</v>
      </c>
      <c r="N435" s="13">
        <v>69</v>
      </c>
      <c r="O435" s="15"/>
      <c r="P435" s="6">
        <v>42618.537488425922</v>
      </c>
      <c r="Q435" s="12"/>
      <c r="R435" s="17" t="s">
        <v>1674</v>
      </c>
      <c r="S435" s="12"/>
      <c r="T435" s="12"/>
      <c r="U435" s="10" t="str">
        <f>HYPERLINK("https://pbs.twimg.com/profile_images/806466698643697664/uHb-iHbN.jpg","View")</f>
        <v>View</v>
      </c>
    </row>
    <row r="436" spans="1:21" ht="40.799999999999997">
      <c r="A436" s="6">
        <v>43440.835370370369</v>
      </c>
      <c r="B436" s="7" t="str">
        <f>HYPERLINK("https://twitter.com/Sanfermin00","@Sanfermin00")</f>
        <v>@Sanfermin00</v>
      </c>
      <c r="C436" s="8" t="s">
        <v>1618</v>
      </c>
      <c r="D436" s="9" t="s">
        <v>1364</v>
      </c>
      <c r="E436" s="10" t="str">
        <f>HYPERLINK("https://twitter.com/Sanfermin00/status/1070755485832413185","1070755485832413185")</f>
        <v>1070755485832413185</v>
      </c>
      <c r="F436" s="11" t="s">
        <v>1421</v>
      </c>
      <c r="G436" s="12"/>
      <c r="H436" s="12"/>
      <c r="I436" s="13">
        <v>1</v>
      </c>
      <c r="J436" s="13">
        <v>1</v>
      </c>
      <c r="K436" s="14" t="str">
        <f>HYPERLINK("http://twitter.com","Twitter Web Client")</f>
        <v>Twitter Web Client</v>
      </c>
      <c r="L436" s="13">
        <v>16528</v>
      </c>
      <c r="M436" s="13">
        <v>13714</v>
      </c>
      <c r="N436" s="13">
        <v>122</v>
      </c>
      <c r="O436" s="15"/>
      <c r="P436" s="6">
        <v>42362.637083333335</v>
      </c>
      <c r="Q436" s="16" t="s">
        <v>1619</v>
      </c>
      <c r="R436" s="17" t="s">
        <v>1620</v>
      </c>
      <c r="S436" s="11" t="s">
        <v>1621</v>
      </c>
      <c r="T436" s="12"/>
      <c r="U436" s="10" t="str">
        <f>HYPERLINK("https://pbs.twimg.com/profile_images/1064102923624480768/j11dV2-u.jpg","View")</f>
        <v>View</v>
      </c>
    </row>
    <row r="437" spans="1:21" ht="40.799999999999997">
      <c r="A437" s="6">
        <v>43440.832141203704</v>
      </c>
      <c r="B437" s="7" t="str">
        <f>HYPERLINK("https://twitter.com/JoseMGarcia77","@JoseMGarcia77")</f>
        <v>@JoseMGarcia77</v>
      </c>
      <c r="C437" s="8" t="s">
        <v>1676</v>
      </c>
      <c r="D437" s="9" t="s">
        <v>1677</v>
      </c>
      <c r="E437" s="10" t="str">
        <f>HYPERLINK("https://twitter.com/JoseMGarcia77/status/1070754315667759104","1070754315667759104")</f>
        <v>1070754315667759104</v>
      </c>
      <c r="F437" s="11" t="s">
        <v>621</v>
      </c>
      <c r="G437" s="12"/>
      <c r="H437" s="12"/>
      <c r="I437" s="13">
        <v>1</v>
      </c>
      <c r="J437" s="13">
        <v>2</v>
      </c>
      <c r="K437" s="14" t="str">
        <f>HYPERLINK("https://about.twitter.com/products/tweetdeck","TweetDeck")</f>
        <v>TweetDeck</v>
      </c>
      <c r="L437" s="13">
        <v>155</v>
      </c>
      <c r="M437" s="13">
        <v>149</v>
      </c>
      <c r="N437" s="13">
        <v>4</v>
      </c>
      <c r="O437" s="15"/>
      <c r="P437" s="6">
        <v>41102.469791666663</v>
      </c>
      <c r="Q437" s="12"/>
      <c r="R437" s="20"/>
      <c r="S437" s="12"/>
      <c r="T437" s="12"/>
      <c r="U437" s="10" t="str">
        <f>HYPERLINK("https://pbs.twimg.com/profile_images/554621978561105921/L5pZU-0L.jpeg","View")</f>
        <v>View</v>
      </c>
    </row>
    <row r="438" spans="1:21" ht="20.399999999999999">
      <c r="A438" s="6">
        <v>43440.830914351856</v>
      </c>
      <c r="B438" s="7" t="str">
        <f>HYPERLINK("https://twitter.com/quetemuevas","@quetemuevas")</f>
        <v>@quetemuevas</v>
      </c>
      <c r="C438" s="8" t="s">
        <v>1615</v>
      </c>
      <c r="D438" s="9" t="s">
        <v>1404</v>
      </c>
      <c r="E438" s="10" t="str">
        <f>HYPERLINK("https://twitter.com/quetemuevas/status/1070753873755815937","1070753873755815937")</f>
        <v>1070753873755815937</v>
      </c>
      <c r="F438" s="11" t="s">
        <v>1678</v>
      </c>
      <c r="G438" s="12"/>
      <c r="H438" s="12"/>
      <c r="I438" s="13">
        <v>1</v>
      </c>
      <c r="J438" s="13">
        <v>0</v>
      </c>
      <c r="K438" s="14" t="str">
        <f t="shared" ref="K438:K441" si="87">HYPERLINK("http://twitter.com","Twitter Web Client")</f>
        <v>Twitter Web Client</v>
      </c>
      <c r="L438" s="13">
        <v>28564</v>
      </c>
      <c r="M438" s="13">
        <v>24964</v>
      </c>
      <c r="N438" s="13">
        <v>194</v>
      </c>
      <c r="O438" s="15"/>
      <c r="P438" s="6">
        <v>41145.67900462963</v>
      </c>
      <c r="Q438" s="16" t="s">
        <v>1616</v>
      </c>
      <c r="R438" s="17" t="s">
        <v>1617</v>
      </c>
      <c r="S438" s="12"/>
      <c r="T438" s="12"/>
      <c r="U438" s="10" t="str">
        <f>HYPERLINK("https://pbs.twimg.com/profile_images/468505705226326016/a4602TfF.jpeg","View")</f>
        <v>View</v>
      </c>
    </row>
    <row r="439" spans="1:21" ht="61.2">
      <c r="A439" s="6">
        <v>43440.826967592591</v>
      </c>
      <c r="B439" s="7" t="str">
        <f>HYPERLINK("https://twitter.com/sambalat_repcat","@sambalat_repcat")</f>
        <v>@sambalat_repcat</v>
      </c>
      <c r="C439" s="8" t="s">
        <v>1679</v>
      </c>
      <c r="D439" s="9" t="s">
        <v>1680</v>
      </c>
      <c r="E439" s="10" t="str">
        <f>HYPERLINK("https://twitter.com/sambalat_repcat/status/1070752443355537408","1070752443355537408")</f>
        <v>1070752443355537408</v>
      </c>
      <c r="F439" s="16" t="s">
        <v>1682</v>
      </c>
      <c r="G439" s="12"/>
      <c r="H439" s="12"/>
      <c r="I439" s="13">
        <v>0</v>
      </c>
      <c r="J439" s="13">
        <v>0</v>
      </c>
      <c r="K439" s="14" t="str">
        <f t="shared" si="87"/>
        <v>Twitter Web Client</v>
      </c>
      <c r="L439" s="13">
        <v>550</v>
      </c>
      <c r="M439" s="13">
        <v>1139</v>
      </c>
      <c r="N439" s="13">
        <v>0</v>
      </c>
      <c r="O439" s="15"/>
      <c r="P439" s="6">
        <v>41382.695914351854</v>
      </c>
      <c r="Q439" s="12"/>
      <c r="R439" s="17" t="s">
        <v>1683</v>
      </c>
      <c r="S439" s="12"/>
      <c r="T439" s="12"/>
      <c r="U439" s="10" t="str">
        <f>HYPERLINK("https://pbs.twimg.com/profile_images/938183946105491458/jaHqStL3.jpg","View")</f>
        <v>View</v>
      </c>
    </row>
    <row r="440" spans="1:21" ht="30.6">
      <c r="A440" s="6">
        <v>43440.817337962959</v>
      </c>
      <c r="B440" s="7" t="str">
        <f>HYPERLINK("https://twitter.com/ngarrigosp","@ngarrigosp")</f>
        <v>@ngarrigosp</v>
      </c>
      <c r="C440" s="8" t="s">
        <v>1603</v>
      </c>
      <c r="D440" s="9" t="s">
        <v>1209</v>
      </c>
      <c r="E440" s="10" t="str">
        <f>HYPERLINK("https://twitter.com/ngarrigosp/status/1070748954613170177","1070748954613170177")</f>
        <v>1070748954613170177</v>
      </c>
      <c r="F440" s="11" t="s">
        <v>621</v>
      </c>
      <c r="G440" s="12"/>
      <c r="H440" s="12"/>
      <c r="I440" s="13">
        <v>1</v>
      </c>
      <c r="J440" s="13">
        <v>0</v>
      </c>
      <c r="K440" s="14" t="str">
        <f t="shared" si="87"/>
        <v>Twitter Web Client</v>
      </c>
      <c r="L440" s="13">
        <v>2286</v>
      </c>
      <c r="M440" s="13">
        <v>2093</v>
      </c>
      <c r="N440" s="13">
        <v>37</v>
      </c>
      <c r="O440" s="15"/>
      <c r="P440" s="6">
        <v>40614.759479166663</v>
      </c>
      <c r="Q440" s="16" t="s">
        <v>1604</v>
      </c>
      <c r="R440" s="17" t="s">
        <v>1605</v>
      </c>
      <c r="S440" s="12"/>
      <c r="T440" s="12"/>
      <c r="U440" s="10" t="str">
        <f>HYPERLINK("https://pbs.twimg.com/profile_images/1063053738984792065/R8V_d1iR.jpg","View")</f>
        <v>View</v>
      </c>
    </row>
    <row r="441" spans="1:21" ht="40.799999999999997">
      <c r="A441" s="6">
        <v>43440.815046296295</v>
      </c>
      <c r="B441" s="7" t="str">
        <f>HYPERLINK("https://twitter.com/RoberRimbaud","@RoberRimbaud")</f>
        <v>@RoberRimbaud</v>
      </c>
      <c r="C441" s="8" t="s">
        <v>1684</v>
      </c>
      <c r="D441" s="9" t="s">
        <v>1685</v>
      </c>
      <c r="E441" s="10" t="str">
        <f>HYPERLINK("https://twitter.com/RoberRimbaud/status/1070748120873689089","1070748120873689089")</f>
        <v>1070748120873689089</v>
      </c>
      <c r="F441" s="11" t="s">
        <v>621</v>
      </c>
      <c r="G441" s="12"/>
      <c r="H441" s="12"/>
      <c r="I441" s="13">
        <v>0</v>
      </c>
      <c r="J441" s="13">
        <v>0</v>
      </c>
      <c r="K441" s="14" t="str">
        <f t="shared" si="87"/>
        <v>Twitter Web Client</v>
      </c>
      <c r="L441" s="13">
        <v>2444</v>
      </c>
      <c r="M441" s="13">
        <v>81</v>
      </c>
      <c r="N441" s="13">
        <v>92</v>
      </c>
      <c r="O441" s="15"/>
      <c r="P441" s="6">
        <v>40735.06009259259</v>
      </c>
      <c r="Q441" s="16" t="s">
        <v>1686</v>
      </c>
      <c r="R441" s="17" t="s">
        <v>1687</v>
      </c>
      <c r="S441" s="11" t="s">
        <v>1688</v>
      </c>
      <c r="T441" s="12"/>
      <c r="U441" s="10" t="str">
        <f>HYPERLINK("https://pbs.twimg.com/profile_images/1039169265092448257/lUkJI393.jpg","View")</f>
        <v>View</v>
      </c>
    </row>
    <row r="442" spans="1:21" ht="20.399999999999999">
      <c r="A442" s="6">
        <v>43440.814236111109</v>
      </c>
      <c r="B442" s="7" t="str">
        <f>HYPERLINK("https://twitter.com/rececitos","@rececitos")</f>
        <v>@rececitos</v>
      </c>
      <c r="C442" s="8" t="s">
        <v>1689</v>
      </c>
      <c r="D442" s="9" t="s">
        <v>1690</v>
      </c>
      <c r="E442" s="10" t="str">
        <f>HYPERLINK("https://twitter.com/rececitos/status/1070747829172400128","1070747829172400128")</f>
        <v>1070747829172400128</v>
      </c>
      <c r="F442" s="12"/>
      <c r="G442" s="12"/>
      <c r="H442" s="12"/>
      <c r="I442" s="13">
        <v>0</v>
      </c>
      <c r="J442" s="13">
        <v>0</v>
      </c>
      <c r="K442" s="14" t="str">
        <f>HYPERLINK("http://twitter.com/download/iphone","Twitter for iPhone")</f>
        <v>Twitter for iPhone</v>
      </c>
      <c r="L442" s="13">
        <v>1260</v>
      </c>
      <c r="M442" s="13">
        <v>711</v>
      </c>
      <c r="N442" s="13">
        <v>19</v>
      </c>
      <c r="O442" s="15"/>
      <c r="P442" s="6">
        <v>40638.826018518521</v>
      </c>
      <c r="Q442" s="16" t="s">
        <v>1691</v>
      </c>
      <c r="R442" s="17" t="s">
        <v>1692</v>
      </c>
      <c r="S442" s="12"/>
      <c r="T442" s="12"/>
      <c r="U442" s="10" t="str">
        <f>HYPERLINK("https://pbs.twimg.com/profile_images/1041658409337143298/DHkw8LxO.jpg","View")</f>
        <v>View</v>
      </c>
    </row>
    <row r="443" spans="1:21" ht="30.6">
      <c r="A443" s="6">
        <v>43440.80914351852</v>
      </c>
      <c r="B443" s="7" t="str">
        <f>HYPERLINK("https://twitter.com/NoticiarioES","@NoticiarioES")</f>
        <v>@NoticiarioES</v>
      </c>
      <c r="C443" s="8" t="s">
        <v>1693</v>
      </c>
      <c r="D443" s="9" t="s">
        <v>1694</v>
      </c>
      <c r="E443" s="10" t="str">
        <f>HYPERLINK("https://twitter.com/NoticiarioES/status/1070745983418540032","1070745983418540032")</f>
        <v>1070745983418540032</v>
      </c>
      <c r="F443" s="11" t="s">
        <v>1695</v>
      </c>
      <c r="G443" s="11" t="s">
        <v>1696</v>
      </c>
      <c r="H443" s="12"/>
      <c r="I443" s="13">
        <v>0</v>
      </c>
      <c r="J443" s="13">
        <v>0</v>
      </c>
      <c r="K443" s="14" t="str">
        <f>HYPERLINK("https://buffer.com","Buffer")</f>
        <v>Buffer</v>
      </c>
      <c r="L443" s="13">
        <v>203</v>
      </c>
      <c r="M443" s="13">
        <v>6</v>
      </c>
      <c r="N443" s="13">
        <v>7</v>
      </c>
      <c r="O443" s="15"/>
      <c r="P443" s="6">
        <v>39678.946342592593</v>
      </c>
      <c r="Q443" s="16" t="s">
        <v>1697</v>
      </c>
      <c r="R443" s="17" t="s">
        <v>1698</v>
      </c>
      <c r="S443" s="11" t="s">
        <v>1699</v>
      </c>
      <c r="T443" s="12"/>
      <c r="U443" s="10" t="str">
        <f>HYPERLINK("https://pbs.twimg.com/profile_images/994642847935664130/qdn8TSqA.jpg","View")</f>
        <v>View</v>
      </c>
    </row>
    <row r="444" spans="1:21" ht="30.6">
      <c r="A444" s="6">
        <v>43440.808530092589</v>
      </c>
      <c r="B444" s="7" t="str">
        <f>HYPERLINK("https://twitter.com/ppmadrid","@ppmadrid")</f>
        <v>@ppmadrid</v>
      </c>
      <c r="C444" s="8" t="s">
        <v>351</v>
      </c>
      <c r="D444" s="9" t="s">
        <v>1700</v>
      </c>
      <c r="E444" s="10" t="str">
        <f>HYPERLINK("https://twitter.com/ppmadrid/status/1070745758893305856","1070745758893305856")</f>
        <v>1070745758893305856</v>
      </c>
      <c r="F444" s="11" t="s">
        <v>1129</v>
      </c>
      <c r="G444" s="12"/>
      <c r="H444" s="12"/>
      <c r="I444" s="13">
        <v>31</v>
      </c>
      <c r="J444" s="13">
        <v>44</v>
      </c>
      <c r="K444" s="14" t="str">
        <f>HYPERLINK("http://twitter.com/download/iphone","Twitter for iPhone")</f>
        <v>Twitter for iPhone</v>
      </c>
      <c r="L444" s="13">
        <v>101951</v>
      </c>
      <c r="M444" s="13">
        <v>5995</v>
      </c>
      <c r="N444" s="13">
        <v>982</v>
      </c>
      <c r="O444" s="19" t="s">
        <v>44</v>
      </c>
      <c r="P444" s="6">
        <v>39827.687893518516</v>
      </c>
      <c r="Q444" s="16" t="s">
        <v>353</v>
      </c>
      <c r="R444" s="17" t="s">
        <v>354</v>
      </c>
      <c r="S444" s="11" t="s">
        <v>356</v>
      </c>
      <c r="T444" s="12"/>
      <c r="U444" s="10" t="str">
        <f>HYPERLINK("https://pbs.twimg.com/profile_images/1053557531111538693/SBAQ7f5C.jpg","View")</f>
        <v>View</v>
      </c>
    </row>
    <row r="445" spans="1:21" ht="51">
      <c r="A445" s="6">
        <v>43440.808148148149</v>
      </c>
      <c r="B445" s="7" t="str">
        <f>HYPERLINK("https://twitter.com/madrid24horas","@madrid24horas")</f>
        <v>@madrid24horas</v>
      </c>
      <c r="C445" s="8" t="s">
        <v>1701</v>
      </c>
      <c r="D445" s="9" t="s">
        <v>1702</v>
      </c>
      <c r="E445" s="10" t="str">
        <f>HYPERLINK("https://twitter.com/madrid24horas/status/1070745620254781440","1070745620254781440")</f>
        <v>1070745620254781440</v>
      </c>
      <c r="F445" s="11" t="s">
        <v>1703</v>
      </c>
      <c r="G445" s="12"/>
      <c r="H445" s="12"/>
      <c r="I445" s="13">
        <v>0</v>
      </c>
      <c r="J445" s="13">
        <v>0</v>
      </c>
      <c r="K445" s="14" t="str">
        <f>HYPERLINK("https://ifttt.com","IFTTT")</f>
        <v>IFTTT</v>
      </c>
      <c r="L445" s="13">
        <v>1843</v>
      </c>
      <c r="M445" s="13">
        <v>1800</v>
      </c>
      <c r="N445" s="13">
        <v>37</v>
      </c>
      <c r="O445" s="15"/>
      <c r="P445" s="6">
        <v>41166.720775462964</v>
      </c>
      <c r="Q445" s="16" t="s">
        <v>30</v>
      </c>
      <c r="R445" s="17" t="s">
        <v>1704</v>
      </c>
      <c r="S445" s="11" t="s">
        <v>1705</v>
      </c>
      <c r="T445" s="12"/>
      <c r="U445" s="10" t="str">
        <f>HYPERLINK("https://pbs.twimg.com/profile_images/806297627029635072/W4TvPSPY.jpg","View")</f>
        <v>View</v>
      </c>
    </row>
    <row r="446" spans="1:21" ht="20.399999999999999">
      <c r="A446" s="6">
        <v>43440.803298611107</v>
      </c>
      <c r="B446" s="7" t="str">
        <f>HYPERLINK("https://twitter.com/Mencita64","@Mencita64")</f>
        <v>@Mencita64</v>
      </c>
      <c r="C446" s="8" t="s">
        <v>1706</v>
      </c>
      <c r="D446" s="9" t="s">
        <v>1472</v>
      </c>
      <c r="E446" s="10" t="str">
        <f>HYPERLINK("https://twitter.com/Mencita64/status/1070743865093746693","1070743865093746693")</f>
        <v>1070743865093746693</v>
      </c>
      <c r="F446" s="11" t="s">
        <v>1176</v>
      </c>
      <c r="G446" s="12"/>
      <c r="H446" s="12"/>
      <c r="I446" s="13">
        <v>0</v>
      </c>
      <c r="J446" s="13">
        <v>0</v>
      </c>
      <c r="K446" s="14" t="str">
        <f t="shared" ref="K446:K447" si="88">HYPERLINK("http://twitter.com","Twitter Web Client")</f>
        <v>Twitter Web Client</v>
      </c>
      <c r="L446" s="13">
        <v>149</v>
      </c>
      <c r="M446" s="13">
        <v>291</v>
      </c>
      <c r="N446" s="13">
        <v>0</v>
      </c>
      <c r="O446" s="15"/>
      <c r="P446" s="6">
        <v>40587.647777777776</v>
      </c>
      <c r="Q446" s="16" t="s">
        <v>48</v>
      </c>
      <c r="R446" s="17" t="s">
        <v>1707</v>
      </c>
      <c r="S446" s="12"/>
      <c r="T446" s="12"/>
      <c r="U446" s="10" t="str">
        <f>HYPERLINK("https://pbs.twimg.com/profile_images/1059551058354204672/z9Z7X4Xn.jpg","View")</f>
        <v>View</v>
      </c>
    </row>
    <row r="447" spans="1:21" ht="51">
      <c r="A447" s="6">
        <v>43440.799907407403</v>
      </c>
      <c r="B447" s="7" t="str">
        <f>HYPERLINK("https://twitter.com/mariano9605","@mariano9605")</f>
        <v>@mariano9605</v>
      </c>
      <c r="C447" s="8" t="s">
        <v>843</v>
      </c>
      <c r="D447" s="9" t="s">
        <v>1708</v>
      </c>
      <c r="E447" s="10" t="str">
        <f>HYPERLINK("https://twitter.com/mariano9605/status/1070742635801952263","1070742635801952263")</f>
        <v>1070742635801952263</v>
      </c>
      <c r="F447" s="11" t="s">
        <v>621</v>
      </c>
      <c r="G447" s="12"/>
      <c r="H447" s="12"/>
      <c r="I447" s="13">
        <v>15</v>
      </c>
      <c r="J447" s="13">
        <v>2</v>
      </c>
      <c r="K447" s="14" t="str">
        <f t="shared" si="88"/>
        <v>Twitter Web Client</v>
      </c>
      <c r="L447" s="13">
        <v>56286</v>
      </c>
      <c r="M447" s="13">
        <v>54122</v>
      </c>
      <c r="N447" s="13">
        <v>303</v>
      </c>
      <c r="O447" s="15"/>
      <c r="P447" s="6">
        <v>40869.915659722225</v>
      </c>
      <c r="Q447" s="16" t="s">
        <v>845</v>
      </c>
      <c r="R447" s="17" t="s">
        <v>846</v>
      </c>
      <c r="S447" s="12"/>
      <c r="T447" s="12"/>
      <c r="U447" s="10" t="str">
        <f>HYPERLINK("https://pbs.twimg.com/profile_images/427860629525757952/ohW7e5Pf.jpeg","View")</f>
        <v>View</v>
      </c>
    </row>
    <row r="448" spans="1:21" ht="30.6">
      <c r="A448" s="6">
        <v>43440.792754629627</v>
      </c>
      <c r="B448" s="7" t="str">
        <f>HYPERLINK("https://twitter.com/iscapla","@iscapla")</f>
        <v>@iscapla</v>
      </c>
      <c r="C448" s="8" t="s">
        <v>1710</v>
      </c>
      <c r="D448" s="9" t="s">
        <v>1155</v>
      </c>
      <c r="E448" s="10" t="str">
        <f>HYPERLINK("https://twitter.com/iscapla/status/1070740043097169921","1070740043097169921")</f>
        <v>1070740043097169921</v>
      </c>
      <c r="F448" s="11" t="s">
        <v>621</v>
      </c>
      <c r="G448" s="12"/>
      <c r="H448" s="12"/>
      <c r="I448" s="13">
        <v>0</v>
      </c>
      <c r="J448" s="13">
        <v>0</v>
      </c>
      <c r="K448" s="14" t="str">
        <f>HYPERLINK("http://twitter.com/#!/download/ipad","Twitter for iPad")</f>
        <v>Twitter for iPad</v>
      </c>
      <c r="L448" s="13">
        <v>673</v>
      </c>
      <c r="M448" s="13">
        <v>1944</v>
      </c>
      <c r="N448" s="13">
        <v>10</v>
      </c>
      <c r="O448" s="15"/>
      <c r="P448" s="6">
        <v>40708.017453703702</v>
      </c>
      <c r="Q448" s="12"/>
      <c r="R448" s="20"/>
      <c r="S448" s="12"/>
      <c r="T448" s="12"/>
      <c r="U448" s="10" t="str">
        <f>HYPERLINK("https://pbs.twimg.com/profile_images/864065981920006144/vLEBjrYt.jpg","View")</f>
        <v>View</v>
      </c>
    </row>
    <row r="449" spans="1:21" ht="40.799999999999997">
      <c r="A449" s="6">
        <v>43440.792581018519</v>
      </c>
      <c r="B449" s="7" t="str">
        <f>HYPERLINK("https://twitter.com/eljoioporculo","@eljoioporculo")</f>
        <v>@eljoioporculo</v>
      </c>
      <c r="C449" s="8" t="s">
        <v>1711</v>
      </c>
      <c r="D449" s="9" t="s">
        <v>1712</v>
      </c>
      <c r="E449" s="10" t="str">
        <f>HYPERLINK("https://twitter.com/eljoioporculo/status/1070739981331783681","1070739981331783681")</f>
        <v>1070739981331783681</v>
      </c>
      <c r="F449" s="12"/>
      <c r="G449" s="11" t="s">
        <v>1713</v>
      </c>
      <c r="H449" s="12"/>
      <c r="I449" s="13">
        <v>0</v>
      </c>
      <c r="J449" s="13">
        <v>1</v>
      </c>
      <c r="K449" s="14" t="str">
        <f>HYPERLINK("http://twitter.com","Twitter Web Client")</f>
        <v>Twitter Web Client</v>
      </c>
      <c r="L449" s="13">
        <v>7</v>
      </c>
      <c r="M449" s="13">
        <v>30</v>
      </c>
      <c r="N449" s="13">
        <v>0</v>
      </c>
      <c r="O449" s="15"/>
      <c r="P449" s="6">
        <v>43340.596550925926</v>
      </c>
      <c r="Q449" s="12"/>
      <c r="R449" s="17" t="s">
        <v>1714</v>
      </c>
      <c r="S449" s="12"/>
      <c r="T449" s="12"/>
      <c r="U449" s="10" t="str">
        <f>HYPERLINK("https://pbs.twimg.com/profile_images/1034415661274083329/zyZCfldz.jpg","View")</f>
        <v>View</v>
      </c>
    </row>
    <row r="450" spans="1:21" ht="30.6">
      <c r="A450" s="6">
        <v>43440.791666666672</v>
      </c>
      <c r="B450" s="7" t="str">
        <f>HYPERLINK("https://twitter.com/sextaNoticias","@sextaNoticias")</f>
        <v>@sextaNoticias</v>
      </c>
      <c r="C450" s="8" t="s">
        <v>1716</v>
      </c>
      <c r="D450" s="9" t="s">
        <v>1717</v>
      </c>
      <c r="E450" s="10" t="str">
        <f>HYPERLINK("https://twitter.com/sextaNoticias/status/1070739650984271873","1070739650984271873")</f>
        <v>1070739650984271873</v>
      </c>
      <c r="F450" s="11" t="s">
        <v>1718</v>
      </c>
      <c r="G450" s="12"/>
      <c r="H450" s="12"/>
      <c r="I450" s="13">
        <v>4</v>
      </c>
      <c r="J450" s="13">
        <v>4</v>
      </c>
      <c r="K450" s="14" t="str">
        <f>HYPERLINK("http://dogtrack.es","DogTrack_Oficial")</f>
        <v>DogTrack_Oficial</v>
      </c>
      <c r="L450" s="13">
        <v>1112668</v>
      </c>
      <c r="M450" s="13">
        <v>279</v>
      </c>
      <c r="N450" s="13">
        <v>7291</v>
      </c>
      <c r="O450" s="19" t="s">
        <v>44</v>
      </c>
      <c r="P450" s="6">
        <v>40099.614328703705</v>
      </c>
      <c r="Q450" s="12"/>
      <c r="R450" s="17" t="s">
        <v>1719</v>
      </c>
      <c r="S450" s="11" t="s">
        <v>1720</v>
      </c>
      <c r="T450" s="12"/>
      <c r="U450" s="10" t="str">
        <f>HYPERLINK("https://pbs.twimg.com/profile_images/898970208551022592/hh3ITSK-.jpg","View")</f>
        <v>View</v>
      </c>
    </row>
    <row r="451" spans="1:21" ht="40.799999999999997">
      <c r="A451" s="6">
        <v>43440.790011574078</v>
      </c>
      <c r="B451" s="7" t="str">
        <f>HYPERLINK("https://twitter.com/almaanbien","@almaanbien")</f>
        <v>@almaanbien</v>
      </c>
      <c r="C451" s="8" t="s">
        <v>1722</v>
      </c>
      <c r="D451" s="9" t="s">
        <v>1723</v>
      </c>
      <c r="E451" s="10" t="str">
        <f>HYPERLINK("https://twitter.com/almaanbien/status/1070739048325701632","1070739048325701632")</f>
        <v>1070739048325701632</v>
      </c>
      <c r="F451" s="12"/>
      <c r="G451" s="12"/>
      <c r="H451" s="12"/>
      <c r="I451" s="13">
        <v>0</v>
      </c>
      <c r="J451" s="13">
        <v>1</v>
      </c>
      <c r="K451" s="14" t="str">
        <f>HYPERLINK("http://twitter.com/download/android","Twitter for Android")</f>
        <v>Twitter for Android</v>
      </c>
      <c r="L451" s="13">
        <v>1</v>
      </c>
      <c r="M451" s="13">
        <v>13</v>
      </c>
      <c r="N451" s="13">
        <v>0</v>
      </c>
      <c r="O451" s="15"/>
      <c r="P451" s="6">
        <v>41931.816817129627</v>
      </c>
      <c r="Q451" s="12"/>
      <c r="R451" s="20"/>
      <c r="S451" s="12"/>
      <c r="T451" s="12"/>
      <c r="U451" s="19" t="s">
        <v>359</v>
      </c>
    </row>
    <row r="452" spans="1:21" ht="30.6">
      <c r="A452" s="6">
        <v>43440.787511574075</v>
      </c>
      <c r="B452" s="7" t="str">
        <f>HYPERLINK("https://twitter.com/nacho991960","@nacho991960")</f>
        <v>@nacho991960</v>
      </c>
      <c r="C452" s="8" t="s">
        <v>1724</v>
      </c>
      <c r="D452" s="9" t="s">
        <v>1725</v>
      </c>
      <c r="E452" s="10" t="str">
        <f>HYPERLINK("https://twitter.com/nacho991960/status/1070738145749143552","1070738145749143552")</f>
        <v>1070738145749143552</v>
      </c>
      <c r="F452" s="11" t="s">
        <v>621</v>
      </c>
      <c r="G452" s="12"/>
      <c r="H452" s="12"/>
      <c r="I452" s="13">
        <v>8</v>
      </c>
      <c r="J452" s="13">
        <v>6</v>
      </c>
      <c r="K452" s="14" t="str">
        <f>HYPERLINK("http://twitter.com","Twitter Web Client")</f>
        <v>Twitter Web Client</v>
      </c>
      <c r="L452" s="13">
        <v>32776</v>
      </c>
      <c r="M452" s="13">
        <v>18812</v>
      </c>
      <c r="N452" s="13">
        <v>267</v>
      </c>
      <c r="O452" s="15"/>
      <c r="P452" s="6">
        <v>40986.787141203706</v>
      </c>
      <c r="Q452" s="12"/>
      <c r="R452" s="17" t="s">
        <v>1726</v>
      </c>
      <c r="S452" s="12"/>
      <c r="T452" s="12"/>
      <c r="U452" s="10" t="str">
        <f>HYPERLINK("https://pbs.twimg.com/profile_images/1071380812929622016/0PkE5DYZ.jpg","View")</f>
        <v>View</v>
      </c>
    </row>
    <row r="453" spans="1:21" ht="51">
      <c r="A453" s="6">
        <v>43440.786550925928</v>
      </c>
      <c r="B453" s="7" t="str">
        <f>HYPERLINK("https://twitter.com/JoseMGarcia77","@JoseMGarcia77")</f>
        <v>@JoseMGarcia77</v>
      </c>
      <c r="C453" s="8" t="s">
        <v>1676</v>
      </c>
      <c r="D453" s="9" t="s">
        <v>1727</v>
      </c>
      <c r="E453" s="10" t="str">
        <f>HYPERLINK("https://twitter.com/JoseMGarcia77/status/1070737795164049408","1070737795164049408")</f>
        <v>1070737795164049408</v>
      </c>
      <c r="F453" s="11" t="s">
        <v>1421</v>
      </c>
      <c r="G453" s="12"/>
      <c r="H453" s="12"/>
      <c r="I453" s="13">
        <v>0</v>
      </c>
      <c r="J453" s="13">
        <v>0</v>
      </c>
      <c r="K453" s="14" t="str">
        <f>HYPERLINK("https://about.twitter.com/products/tweetdeck","TweetDeck")</f>
        <v>TweetDeck</v>
      </c>
      <c r="L453" s="13">
        <v>155</v>
      </c>
      <c r="M453" s="13">
        <v>149</v>
      </c>
      <c r="N453" s="13">
        <v>4</v>
      </c>
      <c r="O453" s="15"/>
      <c r="P453" s="6">
        <v>41102.469791666663</v>
      </c>
      <c r="Q453" s="12"/>
      <c r="R453" s="20"/>
      <c r="S453" s="12"/>
      <c r="T453" s="12"/>
      <c r="U453" s="10" t="str">
        <f>HYPERLINK("https://pbs.twimg.com/profile_images/554621978561105921/L5pZU-0L.jpeg","View")</f>
        <v>View</v>
      </c>
    </row>
    <row r="454" spans="1:21" ht="30.6">
      <c r="A454" s="6">
        <v>43440.786041666666</v>
      </c>
      <c r="B454" s="7" t="str">
        <f>HYPERLINK("https://twitter.com/ponpimpampum","@ponpimpampum")</f>
        <v>@ponpimpampum</v>
      </c>
      <c r="C454" s="8" t="s">
        <v>1728</v>
      </c>
      <c r="D454" s="9" t="s">
        <v>1729</v>
      </c>
      <c r="E454" s="10" t="str">
        <f>HYPERLINK("https://twitter.com/ponpimpampum/status/1070737609184477192","1070737609184477192")</f>
        <v>1070737609184477192</v>
      </c>
      <c r="F454" s="12"/>
      <c r="G454" s="11" t="s">
        <v>1730</v>
      </c>
      <c r="H454" s="12"/>
      <c r="I454" s="13">
        <v>2</v>
      </c>
      <c r="J454" s="13">
        <v>8</v>
      </c>
      <c r="K454" s="14" t="str">
        <f t="shared" ref="K454:K455" si="89">HYPERLINK("http://twitter.com/download/android","Twitter for Android")</f>
        <v>Twitter for Android</v>
      </c>
      <c r="L454" s="13">
        <v>13187</v>
      </c>
      <c r="M454" s="13">
        <v>665</v>
      </c>
      <c r="N454" s="13">
        <v>202</v>
      </c>
      <c r="O454" s="15"/>
      <c r="P454" s="6">
        <v>41051.526203703703</v>
      </c>
      <c r="Q454" s="16" t="s">
        <v>1731</v>
      </c>
      <c r="R454" s="17" t="s">
        <v>1732</v>
      </c>
      <c r="S454" s="12"/>
      <c r="T454" s="12"/>
      <c r="U454" s="10" t="str">
        <f>HYPERLINK("https://pbs.twimg.com/profile_images/1062066967434158081/QfsaLisD.jpg","View")</f>
        <v>View</v>
      </c>
    </row>
    <row r="455" spans="1:21" ht="40.799999999999997">
      <c r="A455" s="6">
        <v>43440.78528935185</v>
      </c>
      <c r="B455" s="7" t="str">
        <f>HYPERLINK("https://twitter.com/Canesky","@Canesky")</f>
        <v>@Canesky</v>
      </c>
      <c r="C455" s="8" t="s">
        <v>1733</v>
      </c>
      <c r="D455" s="9" t="s">
        <v>1734</v>
      </c>
      <c r="E455" s="10" t="str">
        <f>HYPERLINK("https://twitter.com/Canesky/status/1070737338215620614","1070737338215620614")</f>
        <v>1070737338215620614</v>
      </c>
      <c r="F455" s="12"/>
      <c r="G455" s="12"/>
      <c r="H455" s="12"/>
      <c r="I455" s="13">
        <v>0</v>
      </c>
      <c r="J455" s="13">
        <v>0</v>
      </c>
      <c r="K455" s="14" t="str">
        <f t="shared" si="89"/>
        <v>Twitter for Android</v>
      </c>
      <c r="L455" s="13">
        <v>900</v>
      </c>
      <c r="M455" s="13">
        <v>379</v>
      </c>
      <c r="N455" s="13">
        <v>16</v>
      </c>
      <c r="O455" s="15"/>
      <c r="P455" s="6">
        <v>40592.690763888888</v>
      </c>
      <c r="Q455" s="16" t="s">
        <v>1735</v>
      </c>
      <c r="R455" s="17" t="s">
        <v>1736</v>
      </c>
      <c r="S455" s="12"/>
      <c r="T455" s="12"/>
      <c r="U455" s="10" t="str">
        <f>HYPERLINK("https://pbs.twimg.com/profile_images/875024454639857665/t4C8AjnY.jpg","View")</f>
        <v>View</v>
      </c>
    </row>
    <row r="456" spans="1:21" ht="40.799999999999997">
      <c r="A456" s="6">
        <v>43440.783587962964</v>
      </c>
      <c r="B456" s="7" t="str">
        <f>HYPERLINK("https://twitter.com/MujxDrch","@MujxDrch")</f>
        <v>@MujxDrch</v>
      </c>
      <c r="C456" s="8" t="s">
        <v>1737</v>
      </c>
      <c r="D456" s="9" t="s">
        <v>1738</v>
      </c>
      <c r="E456" s="10" t="str">
        <f>HYPERLINK("https://twitter.com/MujxDrch/status/1070736720214282246","1070736720214282246")</f>
        <v>1070736720214282246</v>
      </c>
      <c r="F456" s="11" t="s">
        <v>1739</v>
      </c>
      <c r="G456" s="12"/>
      <c r="H456" s="12"/>
      <c r="I456" s="13">
        <v>2</v>
      </c>
      <c r="J456" s="13">
        <v>0</v>
      </c>
      <c r="K456" s="14" t="str">
        <f>HYPERLINK("http://www.facebook.com/twitter","Facebook")</f>
        <v>Facebook</v>
      </c>
      <c r="L456" s="13">
        <v>963</v>
      </c>
      <c r="M456" s="13">
        <v>357</v>
      </c>
      <c r="N456" s="13">
        <v>31</v>
      </c>
      <c r="O456" s="15"/>
      <c r="P456" s="6">
        <v>41336.461238425924</v>
      </c>
      <c r="Q456" s="16" t="s">
        <v>1740</v>
      </c>
      <c r="R456" s="17" t="s">
        <v>1741</v>
      </c>
      <c r="S456" s="11" t="s">
        <v>1742</v>
      </c>
      <c r="T456" s="12"/>
      <c r="U456" s="10" t="str">
        <f>HYPERLINK("https://pbs.twimg.com/profile_images/3332387825/d0526750a2d9c5f9160dbbbbb936628a.jpeg","View")</f>
        <v>View</v>
      </c>
    </row>
    <row r="457" spans="1:21" ht="40.799999999999997">
      <c r="A457" s="6">
        <v>43440.783020833333</v>
      </c>
      <c r="B457" s="7" t="str">
        <f>HYPERLINK("https://twitter.com/PlenoSenado","@PlenoSenado")</f>
        <v>@PlenoSenado</v>
      </c>
      <c r="C457" s="8" t="s">
        <v>1743</v>
      </c>
      <c r="D457" s="9" t="s">
        <v>1744</v>
      </c>
      <c r="E457" s="10" t="str">
        <f>HYPERLINK("https://twitter.com/PlenoSenado/status/1070736518400987136","1070736518400987136")</f>
        <v>1070736518400987136</v>
      </c>
      <c r="F457" s="11" t="s">
        <v>1745</v>
      </c>
      <c r="G457" s="11" t="s">
        <v>1746</v>
      </c>
      <c r="H457" s="12"/>
      <c r="I457" s="13">
        <v>0</v>
      </c>
      <c r="J457" s="13">
        <v>0</v>
      </c>
      <c r="K457" s="14" t="str">
        <f>HYPERLINK("https://dlvrit.com/","dlvr.it")</f>
        <v>dlvr.it</v>
      </c>
      <c r="L457" s="13">
        <v>110</v>
      </c>
      <c r="M457" s="13">
        <v>292</v>
      </c>
      <c r="N457" s="13">
        <v>4</v>
      </c>
      <c r="O457" s="15"/>
      <c r="P457" s="6">
        <v>42810.882986111115</v>
      </c>
      <c r="Q457" s="16" t="s">
        <v>48</v>
      </c>
      <c r="R457" s="17" t="s">
        <v>1747</v>
      </c>
      <c r="S457" s="12"/>
      <c r="T457" s="12"/>
      <c r="U457" s="10" t="str">
        <f>HYPERLINK("https://pbs.twimg.com/profile_images/899320773395001344/0RfVoy-p.jpg","View")</f>
        <v>View</v>
      </c>
    </row>
    <row r="458" spans="1:21" ht="20.399999999999999">
      <c r="A458" s="6">
        <v>43440.782407407409</v>
      </c>
      <c r="B458" s="7" t="str">
        <f>HYPERLINK("https://twitter.com/RTn_Sanidad","@RTn_Sanidad")</f>
        <v>@RTn_Sanidad</v>
      </c>
      <c r="C458" s="8" t="s">
        <v>1749</v>
      </c>
      <c r="D458" s="9" t="s">
        <v>1750</v>
      </c>
      <c r="E458" s="10" t="str">
        <f>HYPERLINK("https://twitter.com/RTn_Sanidad/status/1070736294211436544","1070736294211436544")</f>
        <v>1070736294211436544</v>
      </c>
      <c r="F458" s="11" t="s">
        <v>1751</v>
      </c>
      <c r="G458" s="12"/>
      <c r="H458" s="12"/>
      <c r="I458" s="13">
        <v>0</v>
      </c>
      <c r="J458" s="13">
        <v>0</v>
      </c>
      <c r="K458" s="14" t="str">
        <f>HYPERLINK("https://ifttt.com","IFTTT")</f>
        <v>IFTTT</v>
      </c>
      <c r="L458" s="13">
        <v>1226</v>
      </c>
      <c r="M458" s="13">
        <v>1014</v>
      </c>
      <c r="N458" s="13">
        <v>41</v>
      </c>
      <c r="O458" s="15"/>
      <c r="P458" s="6">
        <v>41732.652951388889</v>
      </c>
      <c r="Q458" s="16" t="s">
        <v>30</v>
      </c>
      <c r="R458" s="17" t="s">
        <v>1752</v>
      </c>
      <c r="S458" s="11" t="s">
        <v>1753</v>
      </c>
      <c r="T458" s="12"/>
      <c r="U458" s="10" t="str">
        <f>HYPERLINK("https://pbs.twimg.com/profile_images/901952322670125056/Bht6opSX.jpg","View")</f>
        <v>View</v>
      </c>
    </row>
    <row r="459" spans="1:21" ht="30.6">
      <c r="A459" s="6">
        <v>43440.78125</v>
      </c>
      <c r="B459" s="7" t="str">
        <f>HYPERLINK("https://twitter.com/laSextaTV","@laSextaTV")</f>
        <v>@laSextaTV</v>
      </c>
      <c r="C459" s="8" t="s">
        <v>1757</v>
      </c>
      <c r="D459" s="9" t="s">
        <v>1758</v>
      </c>
      <c r="E459" s="10" t="str">
        <f>HYPERLINK("https://twitter.com/laSextaTV/status/1070735876282597377","1070735876282597377")</f>
        <v>1070735876282597377</v>
      </c>
      <c r="F459" s="11" t="s">
        <v>1759</v>
      </c>
      <c r="G459" s="12"/>
      <c r="H459" s="12"/>
      <c r="I459" s="13">
        <v>2</v>
      </c>
      <c r="J459" s="13">
        <v>2</v>
      </c>
      <c r="K459" s="14" t="str">
        <f>HYPERLINK("http://dogtrack.es","DogTrack_Oficial")</f>
        <v>DogTrack_Oficial</v>
      </c>
      <c r="L459" s="13">
        <v>915221</v>
      </c>
      <c r="M459" s="13">
        <v>307</v>
      </c>
      <c r="N459" s="13">
        <v>5857</v>
      </c>
      <c r="O459" s="19" t="s">
        <v>44</v>
      </c>
      <c r="P459" s="6">
        <v>39877.804710648146</v>
      </c>
      <c r="Q459" s="16" t="s">
        <v>86</v>
      </c>
      <c r="R459" s="17" t="s">
        <v>1760</v>
      </c>
      <c r="S459" s="11" t="s">
        <v>1761</v>
      </c>
      <c r="T459" s="12"/>
      <c r="U459" s="10" t="str">
        <f>HYPERLINK("https://pbs.twimg.com/profile_images/898966361426231296/0sS0RzFh.jpg","View")</f>
        <v>View</v>
      </c>
    </row>
    <row r="460" spans="1:21" ht="20.399999999999999">
      <c r="A460" s="6">
        <v>43440.780428240745</v>
      </c>
      <c r="B460" s="7" t="str">
        <f>HYPERLINK("https://twitter.com/H_Hackenbush","@H_Hackenbush")</f>
        <v>@H_Hackenbush</v>
      </c>
      <c r="C460" s="8" t="s">
        <v>1762</v>
      </c>
      <c r="D460" s="9" t="s">
        <v>1763</v>
      </c>
      <c r="E460" s="10" t="str">
        <f>HYPERLINK("https://twitter.com/H_Hackenbush/status/1070735577891389445","1070735577891389445")</f>
        <v>1070735577891389445</v>
      </c>
      <c r="F460" s="11" t="s">
        <v>1764</v>
      </c>
      <c r="G460" s="12"/>
      <c r="H460" s="12"/>
      <c r="I460" s="13">
        <v>0</v>
      </c>
      <c r="J460" s="13">
        <v>1</v>
      </c>
      <c r="K460" s="14" t="str">
        <f t="shared" ref="K460:K462" si="90">HYPERLINK("http://twitter.com","Twitter Web Client")</f>
        <v>Twitter Web Client</v>
      </c>
      <c r="L460" s="13">
        <v>1849</v>
      </c>
      <c r="M460" s="13">
        <v>512</v>
      </c>
      <c r="N460" s="13">
        <v>3</v>
      </c>
      <c r="O460" s="15"/>
      <c r="P460" s="6">
        <v>43001.76290509259</v>
      </c>
      <c r="Q460" s="16" t="s">
        <v>625</v>
      </c>
      <c r="R460" s="17" t="s">
        <v>1765</v>
      </c>
      <c r="S460" s="11" t="s">
        <v>1766</v>
      </c>
      <c r="T460" s="12"/>
      <c r="U460" s="10" t="str">
        <f>HYPERLINK("https://pbs.twimg.com/profile_images/912253036952682496/vOSEN9a4.jpg","View")</f>
        <v>View</v>
      </c>
    </row>
    <row r="461" spans="1:21" ht="40.799999999999997">
      <c r="A461" s="6">
        <v>43440.776458333334</v>
      </c>
      <c r="B461" s="7" t="str">
        <f>HYPERLINK("https://twitter.com/AlfonsoValleCa1","@AlfonsoValleCa1")</f>
        <v>@AlfonsoValleCa1</v>
      </c>
      <c r="C461" s="8" t="s">
        <v>1768</v>
      </c>
      <c r="D461" s="9" t="s">
        <v>1209</v>
      </c>
      <c r="E461" s="10" t="str">
        <f>HYPERLINK("https://twitter.com/AlfonsoValleCa1/status/1070734138544701441","1070734138544701441")</f>
        <v>1070734138544701441</v>
      </c>
      <c r="F461" s="11" t="s">
        <v>621</v>
      </c>
      <c r="G461" s="12"/>
      <c r="H461" s="12"/>
      <c r="I461" s="13">
        <v>0</v>
      </c>
      <c r="J461" s="13">
        <v>0</v>
      </c>
      <c r="K461" s="14" t="str">
        <f t="shared" si="90"/>
        <v>Twitter Web Client</v>
      </c>
      <c r="L461" s="13">
        <v>288</v>
      </c>
      <c r="M461" s="13">
        <v>566</v>
      </c>
      <c r="N461" s="13">
        <v>0</v>
      </c>
      <c r="O461" s="15"/>
      <c r="P461" s="6">
        <v>43351.82402777778</v>
      </c>
      <c r="Q461" s="12"/>
      <c r="R461" s="17" t="s">
        <v>1769</v>
      </c>
      <c r="S461" s="12"/>
      <c r="T461" s="12"/>
      <c r="U461" s="10" t="str">
        <f>HYPERLINK("https://pbs.twimg.com/profile_images/1070645767029882881/tDWlHeVd.jpg","View")</f>
        <v>View</v>
      </c>
    </row>
    <row r="462" spans="1:21" ht="20.399999999999999">
      <c r="A462" s="6">
        <v>43440.774548611109</v>
      </c>
      <c r="B462" s="7" t="str">
        <f>HYPERLINK("https://twitter.com/AlfonsoRojoPD","@AlfonsoRojoPD")</f>
        <v>@AlfonsoRojoPD</v>
      </c>
      <c r="C462" s="8" t="s">
        <v>1770</v>
      </c>
      <c r="D462" s="9" t="s">
        <v>1771</v>
      </c>
      <c r="E462" s="10" t="str">
        <f>HYPERLINK("https://twitter.com/AlfonsoRojoPD/status/1070733447931551745","1070733447931551745")</f>
        <v>1070733447931551745</v>
      </c>
      <c r="F462" s="11" t="s">
        <v>1775</v>
      </c>
      <c r="G462" s="12"/>
      <c r="H462" s="12"/>
      <c r="I462" s="13">
        <v>2</v>
      </c>
      <c r="J462" s="13">
        <v>5</v>
      </c>
      <c r="K462" s="14" t="str">
        <f t="shared" si="90"/>
        <v>Twitter Web Client</v>
      </c>
      <c r="L462" s="13">
        <v>49129</v>
      </c>
      <c r="M462" s="13">
        <v>0</v>
      </c>
      <c r="N462" s="13">
        <v>677</v>
      </c>
      <c r="O462" s="19" t="s">
        <v>44</v>
      </c>
      <c r="P462" s="6">
        <v>41704.447048611109</v>
      </c>
      <c r="Q462" s="16" t="s">
        <v>191</v>
      </c>
      <c r="R462" s="17" t="s">
        <v>1776</v>
      </c>
      <c r="S462" s="11" t="s">
        <v>1777</v>
      </c>
      <c r="T462" s="12"/>
      <c r="U462" s="10" t="str">
        <f>HYPERLINK("https://pbs.twimg.com/profile_images/441511791210663936/QbI_6aXh.jpeg","View")</f>
        <v>View</v>
      </c>
    </row>
    <row r="463" spans="1:21" ht="20.399999999999999">
      <c r="A463" s="6">
        <v>43440.773159722223</v>
      </c>
      <c r="B463" s="7" t="str">
        <f>HYPERLINK("https://twitter.com/L20mOtros","@L20mOtros")</f>
        <v>@L20mOtros</v>
      </c>
      <c r="C463" s="8" t="s">
        <v>182</v>
      </c>
      <c r="D463" s="9" t="s">
        <v>1628</v>
      </c>
      <c r="E463" s="10" t="str">
        <f>HYPERLINK("https://twitter.com/L20mOtros/status/1070732943113576448","1070732943113576448")</f>
        <v>1070732943113576448</v>
      </c>
      <c r="F463" s="11" t="s">
        <v>1778</v>
      </c>
      <c r="G463" s="11" t="s">
        <v>1779</v>
      </c>
      <c r="H463" s="12"/>
      <c r="I463" s="13">
        <v>0</v>
      </c>
      <c r="J463" s="13">
        <v>0</v>
      </c>
      <c r="K463" s="14" t="str">
        <f>HYPERLINK("http://dogtrack.es","DogTrack_Oficial")</f>
        <v>DogTrack_Oficial</v>
      </c>
      <c r="L463" s="13">
        <v>23</v>
      </c>
      <c r="M463" s="13">
        <v>8</v>
      </c>
      <c r="N463" s="13">
        <v>0</v>
      </c>
      <c r="O463" s="15"/>
      <c r="P463" s="6">
        <v>41285.602418981478</v>
      </c>
      <c r="Q463" s="12"/>
      <c r="R463" s="20"/>
      <c r="S463" s="11" t="s">
        <v>187</v>
      </c>
      <c r="T463" s="12"/>
      <c r="U463" s="10" t="str">
        <f>HYPERLINK("https://pbs.twimg.com/profile_images/3148562799/6854a445e373c5053b43f5c11d764b41.jpeg","View")</f>
        <v>View</v>
      </c>
    </row>
    <row r="464" spans="1:21" ht="40.799999999999997">
      <c r="A464" s="6">
        <v>43440.765081018515</v>
      </c>
      <c r="B464" s="7" t="str">
        <f>HYPERLINK("https://twitter.com/eslatarde","@eslatarde")</f>
        <v>@eslatarde</v>
      </c>
      <c r="C464" s="8" t="s">
        <v>810</v>
      </c>
      <c r="D464" s="9" t="s">
        <v>1780</v>
      </c>
      <c r="E464" s="10" t="str">
        <f>HYPERLINK("https://twitter.com/eslatarde/status/1070730013387997184","1070730013387997184")</f>
        <v>1070730013387997184</v>
      </c>
      <c r="F464" s="12"/>
      <c r="G464" s="12"/>
      <c r="H464" s="12"/>
      <c r="I464" s="13">
        <v>4</v>
      </c>
      <c r="J464" s="13">
        <v>4</v>
      </c>
      <c r="K464" s="14" t="str">
        <f>HYPERLINK("http://twitter.com","Twitter Web Client")</f>
        <v>Twitter Web Client</v>
      </c>
      <c r="L464" s="13">
        <v>22059</v>
      </c>
      <c r="M464" s="13">
        <v>1193</v>
      </c>
      <c r="N464" s="13">
        <v>183</v>
      </c>
      <c r="O464" s="19" t="s">
        <v>44</v>
      </c>
      <c r="P464" s="6">
        <v>41487.700925925928</v>
      </c>
      <c r="Q464" s="12"/>
      <c r="R464" s="17" t="s">
        <v>812</v>
      </c>
      <c r="S464" s="11" t="s">
        <v>813</v>
      </c>
      <c r="T464" s="12"/>
      <c r="U464" s="10" t="str">
        <f>HYPERLINK("https://pbs.twimg.com/profile_images/430657794740457472/J8u4e-W3.jpeg","View")</f>
        <v>View</v>
      </c>
    </row>
    <row r="465" spans="1:21" ht="40.799999999999997">
      <c r="A465" s="6">
        <v>43440.764710648145</v>
      </c>
      <c r="B465" s="7" t="str">
        <f>HYPERLINK("https://twitter.com/GonzalVarvique","@GonzalVarvique")</f>
        <v>@GonzalVarvique</v>
      </c>
      <c r="C465" s="8" t="s">
        <v>1781</v>
      </c>
      <c r="D465" s="9" t="s">
        <v>1782</v>
      </c>
      <c r="E465" s="10" t="str">
        <f>HYPERLINK("https://twitter.com/GonzalVarvique/status/1070729880764063744","1070729880764063744")</f>
        <v>1070729880764063744</v>
      </c>
      <c r="F465" s="16" t="s">
        <v>1783</v>
      </c>
      <c r="G465" s="12"/>
      <c r="H465" s="12"/>
      <c r="I465" s="13">
        <v>0</v>
      </c>
      <c r="J465" s="13">
        <v>0</v>
      </c>
      <c r="K465" s="14" t="str">
        <f>HYPERLINK("http://twitter.com/download/iphone","Twitter for iPhone")</f>
        <v>Twitter for iPhone</v>
      </c>
      <c r="L465" s="13">
        <v>598</v>
      </c>
      <c r="M465" s="13">
        <v>681</v>
      </c>
      <c r="N465" s="13">
        <v>30</v>
      </c>
      <c r="O465" s="15"/>
      <c r="P465" s="6">
        <v>42203.808622685188</v>
      </c>
      <c r="Q465" s="12"/>
      <c r="R465" s="17" t="s">
        <v>1784</v>
      </c>
      <c r="S465" s="12"/>
      <c r="T465" s="12"/>
      <c r="U465" s="10" t="str">
        <f>HYPERLINK("https://pbs.twimg.com/profile_images/1053202564697808896/NCe-nDGm.jpg","View")</f>
        <v>View</v>
      </c>
    </row>
    <row r="466" spans="1:21" ht="30.6">
      <c r="A466" s="6">
        <v>43440.760127314818</v>
      </c>
      <c r="B466" s="7" t="str">
        <f>HYPERLINK("https://twitter.com/eslatarde","@eslatarde")</f>
        <v>@eslatarde</v>
      </c>
      <c r="C466" s="8" t="s">
        <v>810</v>
      </c>
      <c r="D466" s="9" t="s">
        <v>1785</v>
      </c>
      <c r="E466" s="10" t="str">
        <f>HYPERLINK("https://twitter.com/eslatarde/status/1070728220226584576","1070728220226584576")</f>
        <v>1070728220226584576</v>
      </c>
      <c r="F466" s="16" t="s">
        <v>1786</v>
      </c>
      <c r="G466" s="12"/>
      <c r="H466" s="12"/>
      <c r="I466" s="13">
        <v>2</v>
      </c>
      <c r="J466" s="13">
        <v>11</v>
      </c>
      <c r="K466" s="14" t="str">
        <f t="shared" ref="K466:K470" si="91">HYPERLINK("http://twitter.com","Twitter Web Client")</f>
        <v>Twitter Web Client</v>
      </c>
      <c r="L466" s="13">
        <v>22059</v>
      </c>
      <c r="M466" s="13">
        <v>1193</v>
      </c>
      <c r="N466" s="13">
        <v>183</v>
      </c>
      <c r="O466" s="19" t="s">
        <v>44</v>
      </c>
      <c r="P466" s="6">
        <v>41487.700925925928</v>
      </c>
      <c r="Q466" s="12"/>
      <c r="R466" s="17" t="s">
        <v>812</v>
      </c>
      <c r="S466" s="11" t="s">
        <v>813</v>
      </c>
      <c r="T466" s="12"/>
      <c r="U466" s="10" t="str">
        <f>HYPERLINK("https://pbs.twimg.com/profile_images/430657794740457472/J8u4e-W3.jpeg","View")</f>
        <v>View</v>
      </c>
    </row>
    <row r="467" spans="1:21" ht="20.399999999999999">
      <c r="A467" s="6">
        <v>43440.758854166663</v>
      </c>
      <c r="B467" s="7" t="str">
        <f>HYPERLINK("https://twitter.com/AlfonsoRojoPD","@AlfonsoRojoPD")</f>
        <v>@AlfonsoRojoPD</v>
      </c>
      <c r="C467" s="8" t="s">
        <v>1770</v>
      </c>
      <c r="D467" s="9" t="s">
        <v>1787</v>
      </c>
      <c r="E467" s="10" t="str">
        <f>HYPERLINK("https://twitter.com/AlfonsoRojoPD/status/1070727757045424128","1070727757045424128")</f>
        <v>1070727757045424128</v>
      </c>
      <c r="F467" s="11" t="s">
        <v>1788</v>
      </c>
      <c r="G467" s="12"/>
      <c r="H467" s="12"/>
      <c r="I467" s="13">
        <v>4</v>
      </c>
      <c r="J467" s="13">
        <v>11</v>
      </c>
      <c r="K467" s="14" t="str">
        <f t="shared" si="91"/>
        <v>Twitter Web Client</v>
      </c>
      <c r="L467" s="13">
        <v>49129</v>
      </c>
      <c r="M467" s="13">
        <v>0</v>
      </c>
      <c r="N467" s="13">
        <v>677</v>
      </c>
      <c r="O467" s="19" t="s">
        <v>44</v>
      </c>
      <c r="P467" s="6">
        <v>41704.447048611109</v>
      </c>
      <c r="Q467" s="16" t="s">
        <v>191</v>
      </c>
      <c r="R467" s="17" t="s">
        <v>1776</v>
      </c>
      <c r="S467" s="11" t="s">
        <v>1777</v>
      </c>
      <c r="T467" s="12"/>
      <c r="U467" s="10" t="str">
        <f>HYPERLINK("https://pbs.twimg.com/profile_images/441511791210663936/QbI_6aXh.jpeg","View")</f>
        <v>View</v>
      </c>
    </row>
    <row r="468" spans="1:21" ht="40.799999999999997">
      <c r="A468" s="6">
        <v>43440.758460648147</v>
      </c>
      <c r="B468" s="7" t="str">
        <f>HYPERLINK("https://twitter.com/Sanfermin00","@Sanfermin00")</f>
        <v>@Sanfermin00</v>
      </c>
      <c r="C468" s="8" t="s">
        <v>1618</v>
      </c>
      <c r="D468" s="9" t="s">
        <v>1404</v>
      </c>
      <c r="E468" s="10" t="str">
        <f>HYPERLINK("https://twitter.com/Sanfermin00/status/1070727617765101570","1070727617765101570")</f>
        <v>1070727617765101570</v>
      </c>
      <c r="F468" s="11" t="s">
        <v>1678</v>
      </c>
      <c r="G468" s="12"/>
      <c r="H468" s="12"/>
      <c r="I468" s="13">
        <v>1</v>
      </c>
      <c r="J468" s="13">
        <v>0</v>
      </c>
      <c r="K468" s="14" t="str">
        <f t="shared" si="91"/>
        <v>Twitter Web Client</v>
      </c>
      <c r="L468" s="13">
        <v>16528</v>
      </c>
      <c r="M468" s="13">
        <v>13714</v>
      </c>
      <c r="N468" s="13">
        <v>122</v>
      </c>
      <c r="O468" s="15"/>
      <c r="P468" s="6">
        <v>42362.637083333335</v>
      </c>
      <c r="Q468" s="16" t="s">
        <v>1619</v>
      </c>
      <c r="R468" s="17" t="s">
        <v>1620</v>
      </c>
      <c r="S468" s="11" t="s">
        <v>1621</v>
      </c>
      <c r="T468" s="12"/>
      <c r="U468" s="10" t="str">
        <f>HYPERLINK("https://pbs.twimg.com/profile_images/1064102923624480768/j11dV2-u.jpg","View")</f>
        <v>View</v>
      </c>
    </row>
    <row r="469" spans="1:21" ht="40.799999999999997">
      <c r="A469" s="6">
        <v>43440.755057870367</v>
      </c>
      <c r="B469" s="7" t="str">
        <f>HYPERLINK("https://twitter.com/elenruiper","@elenruiper")</f>
        <v>@elenruiper</v>
      </c>
      <c r="C469" s="8" t="s">
        <v>1789</v>
      </c>
      <c r="D469" s="9" t="s">
        <v>1790</v>
      </c>
      <c r="E469" s="10" t="str">
        <f>HYPERLINK("https://twitter.com/elenruiper/status/1070726380919361536","1070726380919361536")</f>
        <v>1070726380919361536</v>
      </c>
      <c r="F469" s="11" t="s">
        <v>141</v>
      </c>
      <c r="G469" s="12"/>
      <c r="H469" s="12"/>
      <c r="I469" s="13">
        <v>0</v>
      </c>
      <c r="J469" s="13">
        <v>0</v>
      </c>
      <c r="K469" s="14" t="str">
        <f t="shared" si="91"/>
        <v>Twitter Web Client</v>
      </c>
      <c r="L469" s="13">
        <v>590</v>
      </c>
      <c r="M469" s="13">
        <v>528</v>
      </c>
      <c r="N469" s="13">
        <v>8</v>
      </c>
      <c r="O469" s="15"/>
      <c r="P469" s="6">
        <v>42815.71361111111</v>
      </c>
      <c r="Q469" s="16" t="s">
        <v>1162</v>
      </c>
      <c r="R469" s="17" t="s">
        <v>1791</v>
      </c>
      <c r="S469" s="11" t="s">
        <v>1792</v>
      </c>
      <c r="T469" s="12"/>
      <c r="U469" s="10" t="str">
        <f>HYPERLINK("https://pbs.twimg.com/profile_images/844224328761819136/HeibUGCw.jpg","View")</f>
        <v>View</v>
      </c>
    </row>
    <row r="470" spans="1:21" ht="30.6">
      <c r="A470" s="6">
        <v>43440.754317129627</v>
      </c>
      <c r="B470" s="7" t="str">
        <f>HYPERLINK("https://twitter.com/PIbarrondo","@PIbarrondo")</f>
        <v>@PIbarrondo</v>
      </c>
      <c r="C470" s="8" t="s">
        <v>1208</v>
      </c>
      <c r="D470" s="9" t="s">
        <v>1364</v>
      </c>
      <c r="E470" s="10" t="str">
        <f>HYPERLINK("https://twitter.com/PIbarrondo/status/1070726114774007809","1070726114774007809")</f>
        <v>1070726114774007809</v>
      </c>
      <c r="F470" s="11" t="s">
        <v>1421</v>
      </c>
      <c r="G470" s="12"/>
      <c r="H470" s="12"/>
      <c r="I470" s="13">
        <v>2</v>
      </c>
      <c r="J470" s="13">
        <v>0</v>
      </c>
      <c r="K470" s="14" t="str">
        <f t="shared" si="91"/>
        <v>Twitter Web Client</v>
      </c>
      <c r="L470" s="13">
        <v>1593</v>
      </c>
      <c r="M470" s="13">
        <v>3340</v>
      </c>
      <c r="N470" s="13">
        <v>30</v>
      </c>
      <c r="O470" s="15"/>
      <c r="P470" s="6">
        <v>40858.361458333333</v>
      </c>
      <c r="Q470" s="16" t="s">
        <v>1210</v>
      </c>
      <c r="R470" s="17" t="s">
        <v>1211</v>
      </c>
      <c r="S470" s="11" t="s">
        <v>1212</v>
      </c>
      <c r="T470" s="12"/>
      <c r="U470" s="10" t="str">
        <f>HYPERLINK("https://pbs.twimg.com/profile_images/723627175472160769/3Iv--4hA.jpg","View")</f>
        <v>View</v>
      </c>
    </row>
    <row r="471" spans="1:21" ht="20.399999999999999">
      <c r="A471" s="6">
        <v>43440.754282407404</v>
      </c>
      <c r="B471" s="7" t="str">
        <f>HYPERLINK("https://twitter.com/CristoFeliz1","@CristoFeliz1")</f>
        <v>@CristoFeliz1</v>
      </c>
      <c r="C471" s="8" t="s">
        <v>172</v>
      </c>
      <c r="D471" s="9" t="s">
        <v>1628</v>
      </c>
      <c r="E471" s="10" t="str">
        <f>HYPERLINK("https://twitter.com/CristoFeliz1/status/1070726103034019841","1070726103034019841")</f>
        <v>1070726103034019841</v>
      </c>
      <c r="F471" s="11" t="s">
        <v>1793</v>
      </c>
      <c r="G471" s="11" t="s">
        <v>1794</v>
      </c>
      <c r="H471" s="12"/>
      <c r="I471" s="13">
        <v>0</v>
      </c>
      <c r="J471" s="13">
        <v>0</v>
      </c>
      <c r="K471" s="14" t="str">
        <f>HYPERLINK("https://dlvrit.com/","dlvr.it")</f>
        <v>dlvr.it</v>
      </c>
      <c r="L471" s="13">
        <v>7015</v>
      </c>
      <c r="M471" s="13">
        <v>7733</v>
      </c>
      <c r="N471" s="13">
        <v>561</v>
      </c>
      <c r="O471" s="15"/>
      <c r="P471" s="6">
        <v>41186.866469907407</v>
      </c>
      <c r="Q471" s="16" t="s">
        <v>175</v>
      </c>
      <c r="R471" s="17" t="s">
        <v>176</v>
      </c>
      <c r="S471" s="12"/>
      <c r="T471" s="12"/>
      <c r="U471" s="10" t="str">
        <f>HYPERLINK("https://pbs.twimg.com/profile_images/1002564938911703040/1Wvxy6Jm.jpg","View")</f>
        <v>View</v>
      </c>
    </row>
    <row r="472" spans="1:21" ht="40.799999999999997">
      <c r="A472" s="6">
        <v>43440.750231481477</v>
      </c>
      <c r="B472" s="7" t="str">
        <f>HYPERLINK("https://twitter.com/lextresabogados","@lextresabogados")</f>
        <v>@lextresabogados</v>
      </c>
      <c r="C472" s="8" t="s">
        <v>1379</v>
      </c>
      <c r="D472" s="9" t="s">
        <v>1628</v>
      </c>
      <c r="E472" s="10" t="str">
        <f>HYPERLINK("https://twitter.com/lextresabogados/status/1070724634675462146","1070724634675462146")</f>
        <v>1070724634675462146</v>
      </c>
      <c r="F472" s="11" t="s">
        <v>1795</v>
      </c>
      <c r="G472" s="12"/>
      <c r="H472" s="12"/>
      <c r="I472" s="13">
        <v>0</v>
      </c>
      <c r="J472" s="13">
        <v>0</v>
      </c>
      <c r="K472" s="14" t="str">
        <f>HYPERLINK("http://35.180.36.179","botize nueva")</f>
        <v>botize nueva</v>
      </c>
      <c r="L472" s="13">
        <v>2912</v>
      </c>
      <c r="M472" s="13">
        <v>3525</v>
      </c>
      <c r="N472" s="13">
        <v>26</v>
      </c>
      <c r="O472" s="15"/>
      <c r="P472" s="6">
        <v>42880.770949074074</v>
      </c>
      <c r="Q472" s="16" t="s">
        <v>1130</v>
      </c>
      <c r="R472" s="17" t="s">
        <v>1383</v>
      </c>
      <c r="S472" s="11" t="s">
        <v>1384</v>
      </c>
      <c r="T472" s="12"/>
      <c r="U472" s="10" t="str">
        <f>HYPERLINK("https://pbs.twimg.com/profile_images/1068056978679898113/YnjKwiVy.jpg","View")</f>
        <v>View</v>
      </c>
    </row>
    <row r="473" spans="1:21" ht="40.799999999999997">
      <c r="A473" s="6">
        <v>43440.747800925921</v>
      </c>
      <c r="B473" s="7" t="str">
        <f>HYPERLINK("https://twitter.com/20m","@20m")</f>
        <v>@20m</v>
      </c>
      <c r="C473" s="21" t="s">
        <v>158</v>
      </c>
      <c r="D473" s="9" t="s">
        <v>1628</v>
      </c>
      <c r="E473" s="10" t="str">
        <f>HYPERLINK("https://twitter.com/20m/status/1070723752525213697","1070723752525213697")</f>
        <v>1070723752525213697</v>
      </c>
      <c r="F473" s="11" t="s">
        <v>1795</v>
      </c>
      <c r="G473" s="12"/>
      <c r="H473" s="12"/>
      <c r="I473" s="13">
        <v>11</v>
      </c>
      <c r="J473" s="13">
        <v>8</v>
      </c>
      <c r="K473" s="14" t="str">
        <f>HYPERLINK("http://dogtrack.es","DogTrack_Oficial")</f>
        <v>DogTrack_Oficial</v>
      </c>
      <c r="L473" s="13">
        <v>1353522</v>
      </c>
      <c r="M473" s="13">
        <v>51093</v>
      </c>
      <c r="N473" s="13">
        <v>14084</v>
      </c>
      <c r="O473" s="19" t="s">
        <v>44</v>
      </c>
      <c r="P473" s="6">
        <v>39917.485891203702</v>
      </c>
      <c r="Q473" s="16" t="s">
        <v>86</v>
      </c>
      <c r="R473" s="17" t="s">
        <v>164</v>
      </c>
      <c r="S473" s="11" t="s">
        <v>165</v>
      </c>
      <c r="T473" s="12"/>
      <c r="U473" s="10" t="str">
        <f>HYPERLINK("https://pbs.twimg.com/profile_images/1013670314285420544/gwCE6EJr.jpg","View")</f>
        <v>View</v>
      </c>
    </row>
    <row r="474" spans="1:21" ht="30.6">
      <c r="A474" s="6">
        <v>43440.747499999998</v>
      </c>
      <c r="B474" s="7" t="str">
        <f>HYPERLINK("https://twitter.com/caidodelguindo","@caidodelguindo")</f>
        <v>@caidodelguindo</v>
      </c>
      <c r="C474" s="8" t="s">
        <v>1796</v>
      </c>
      <c r="D474" s="9" t="s">
        <v>1797</v>
      </c>
      <c r="E474" s="10" t="str">
        <f>HYPERLINK("https://twitter.com/caidodelguindo/status/1070723642894548992","1070723642894548992")</f>
        <v>1070723642894548992</v>
      </c>
      <c r="F474" s="11" t="s">
        <v>141</v>
      </c>
      <c r="G474" s="12"/>
      <c r="H474" s="12"/>
      <c r="I474" s="13">
        <v>0</v>
      </c>
      <c r="J474" s="13">
        <v>0</v>
      </c>
      <c r="K474" s="14" t="str">
        <f>HYPERLINK("http://twitter.com/download/android","Twitter for Android")</f>
        <v>Twitter for Android</v>
      </c>
      <c r="L474" s="13">
        <v>498</v>
      </c>
      <c r="M474" s="13">
        <v>1393</v>
      </c>
      <c r="N474" s="13">
        <v>4</v>
      </c>
      <c r="O474" s="15"/>
      <c r="P474" s="6">
        <v>40578.777962962966</v>
      </c>
      <c r="Q474" s="16" t="s">
        <v>1798</v>
      </c>
      <c r="R474" s="17" t="s">
        <v>1799</v>
      </c>
      <c r="S474" s="12"/>
      <c r="T474" s="12"/>
      <c r="U474" s="10" t="str">
        <f>HYPERLINK("https://pbs.twimg.com/profile_images/1060638409771900928/LsNTAVKL.jpg","View")</f>
        <v>View</v>
      </c>
    </row>
    <row r="475" spans="1:21" ht="30.6">
      <c r="A475" s="6">
        <v>43440.74664351852</v>
      </c>
      <c r="B475" s="7" t="str">
        <f>HYPERLINK("https://twitter.com/rosamariaartal","@rosamariaartal")</f>
        <v>@rosamariaartal</v>
      </c>
      <c r="C475" s="8" t="s">
        <v>1800</v>
      </c>
      <c r="D475" s="9" t="s">
        <v>1801</v>
      </c>
      <c r="E475" s="10" t="str">
        <f>HYPERLINK("https://twitter.com/rosamariaartal/status/1070723335514980352","1070723335514980352")</f>
        <v>1070723335514980352</v>
      </c>
      <c r="F475" s="11" t="s">
        <v>621</v>
      </c>
      <c r="G475" s="12"/>
      <c r="H475" s="12"/>
      <c r="I475" s="13">
        <v>271</v>
      </c>
      <c r="J475" s="13">
        <v>107</v>
      </c>
      <c r="K475" s="14" t="str">
        <f>HYPERLINK("http://twitter.com","Twitter Web Client")</f>
        <v>Twitter Web Client</v>
      </c>
      <c r="L475" s="13">
        <v>104019</v>
      </c>
      <c r="M475" s="13">
        <v>3025</v>
      </c>
      <c r="N475" s="13">
        <v>2712</v>
      </c>
      <c r="O475" s="15"/>
      <c r="P475" s="6">
        <v>40094.819687499999</v>
      </c>
      <c r="Q475" s="16" t="s">
        <v>109</v>
      </c>
      <c r="R475" s="17" t="s">
        <v>1802</v>
      </c>
      <c r="S475" s="11" t="s">
        <v>1803</v>
      </c>
      <c r="T475" s="12"/>
      <c r="U475" s="10" t="str">
        <f>HYPERLINK("https://pbs.twimg.com/profile_images/780888265238974464/fOR4WuD5.jpg","View")</f>
        <v>View</v>
      </c>
    </row>
    <row r="476" spans="1:21" ht="40.799999999999997">
      <c r="A476" s="6">
        <v>43440.743136574078</v>
      </c>
      <c r="B476" s="7" t="str">
        <f>HYPERLINK("https://twitter.com/jatirado","@jatirado")</f>
        <v>@jatirado</v>
      </c>
      <c r="C476" s="8" t="s">
        <v>188</v>
      </c>
      <c r="D476" s="9" t="s">
        <v>1628</v>
      </c>
      <c r="E476" s="10" t="str">
        <f>HYPERLINK("https://twitter.com/jatirado/status/1070722061251764224","1070722061251764224")</f>
        <v>1070722061251764224</v>
      </c>
      <c r="F476" s="11" t="s">
        <v>1804</v>
      </c>
      <c r="G476" s="11" t="s">
        <v>1805</v>
      </c>
      <c r="H476" s="12"/>
      <c r="I476" s="13">
        <v>5</v>
      </c>
      <c r="J476" s="13">
        <v>4</v>
      </c>
      <c r="K476" s="14" t="str">
        <f>HYPERLINK("https://dlvrit.com/","dlvr.it")</f>
        <v>dlvr.it</v>
      </c>
      <c r="L476" s="13">
        <v>81545</v>
      </c>
      <c r="M476" s="13">
        <v>49760</v>
      </c>
      <c r="N476" s="13">
        <v>1030</v>
      </c>
      <c r="O476" s="15"/>
      <c r="P476" s="6">
        <v>40353.552581018521</v>
      </c>
      <c r="Q476" s="16" t="s">
        <v>191</v>
      </c>
      <c r="R476" s="17" t="s">
        <v>192</v>
      </c>
      <c r="S476" s="11" t="s">
        <v>193</v>
      </c>
      <c r="T476" s="12"/>
      <c r="U476" s="10" t="str">
        <f>HYPERLINK("https://pbs.twimg.com/profile_images/485680559742791680/dg68o8vH.jpeg","View")</f>
        <v>View</v>
      </c>
    </row>
    <row r="477" spans="1:21" ht="102">
      <c r="A477" s="6">
        <v>43440.742569444439</v>
      </c>
      <c r="B477" s="7" t="str">
        <f>HYPERLINK("https://twitter.com/Antifede","@Antifede")</f>
        <v>@Antifede</v>
      </c>
      <c r="C477" s="8" t="s">
        <v>1806</v>
      </c>
      <c r="D477" s="9" t="s">
        <v>1807</v>
      </c>
      <c r="E477" s="10" t="str">
        <f>HYPERLINK("https://twitter.com/Antifede/status/1070721857102454785","1070721857102454785")</f>
        <v>1070721857102454785</v>
      </c>
      <c r="F477" s="11" t="s">
        <v>1808</v>
      </c>
      <c r="G477" s="11" t="s">
        <v>1809</v>
      </c>
      <c r="H477" s="12"/>
      <c r="I477" s="13">
        <v>1</v>
      </c>
      <c r="J477" s="13">
        <v>0</v>
      </c>
      <c r="K477" s="14" t="str">
        <f>HYPERLINK("http://twitter.com","Twitter Web Client")</f>
        <v>Twitter Web Client</v>
      </c>
      <c r="L477" s="13">
        <v>481</v>
      </c>
      <c r="M477" s="13">
        <v>246</v>
      </c>
      <c r="N477" s="13">
        <v>9</v>
      </c>
      <c r="O477" s="15"/>
      <c r="P477" s="6">
        <v>40624.840671296297</v>
      </c>
      <c r="Q477" s="16" t="s">
        <v>1810</v>
      </c>
      <c r="R477" s="17" t="s">
        <v>1811</v>
      </c>
      <c r="S477" s="12"/>
      <c r="T477" s="12"/>
      <c r="U477" s="10" t="str">
        <f>HYPERLINK("https://pbs.twimg.com/profile_images/886170058858393601/_seTu94k.jpg","View")</f>
        <v>View</v>
      </c>
    </row>
    <row r="478" spans="1:21" ht="20.399999999999999">
      <c r="A478" s="6">
        <v>43440.740972222222</v>
      </c>
      <c r="B478" s="7" t="str">
        <f>HYPERLINK("https://twitter.com/estrelladigital","@estrelladigital")</f>
        <v>@estrelladigital</v>
      </c>
      <c r="C478" s="21" t="s">
        <v>1812</v>
      </c>
      <c r="D478" s="9" t="s">
        <v>1813</v>
      </c>
      <c r="E478" s="10" t="str">
        <f>HYPERLINK("https://twitter.com/estrelladigital/status/1070721277885788160","1070721277885788160")</f>
        <v>1070721277885788160</v>
      </c>
      <c r="F478" s="11" t="s">
        <v>1814</v>
      </c>
      <c r="G478" s="12"/>
      <c r="H478" s="12"/>
      <c r="I478" s="13">
        <v>0</v>
      </c>
      <c r="J478" s="13">
        <v>0</v>
      </c>
      <c r="K478" s="14" t="str">
        <f>HYPERLINK("https://about.twitter.com/products/tweetdeck","TweetDeck")</f>
        <v>TweetDeck</v>
      </c>
      <c r="L478" s="13">
        <v>12278</v>
      </c>
      <c r="M478" s="13">
        <v>3366</v>
      </c>
      <c r="N478" s="13">
        <v>440</v>
      </c>
      <c r="O478" s="19" t="s">
        <v>44</v>
      </c>
      <c r="P478" s="6">
        <v>40071.547488425924</v>
      </c>
      <c r="Q478" s="16" t="s">
        <v>191</v>
      </c>
      <c r="R478" s="17" t="s">
        <v>1815</v>
      </c>
      <c r="S478" s="11" t="s">
        <v>1816</v>
      </c>
      <c r="T478" s="12"/>
      <c r="U478" s="10" t="str">
        <f>HYPERLINK("https://pbs.twimg.com/profile_images/1006222087873277952/vRzaEAnq.jpg","View")</f>
        <v>View</v>
      </c>
    </row>
    <row r="479" spans="1:21" ht="30.6">
      <c r="A479" s="6">
        <v>43440.740937499999</v>
      </c>
      <c r="B479" s="7" t="str">
        <f>HYPERLINK("https://twitter.com/rojasocialista","@rojasocialista")</f>
        <v>@rojasocialista</v>
      </c>
      <c r="C479" s="8" t="s">
        <v>969</v>
      </c>
      <c r="D479" s="9" t="s">
        <v>1209</v>
      </c>
      <c r="E479" s="10" t="str">
        <f>HYPERLINK("https://twitter.com/rojasocialista/status/1070721266552852480","1070721266552852480")</f>
        <v>1070721266552852480</v>
      </c>
      <c r="F479" s="11" t="s">
        <v>141</v>
      </c>
      <c r="G479" s="12"/>
      <c r="H479" s="12"/>
      <c r="I479" s="13">
        <v>32</v>
      </c>
      <c r="J479" s="13">
        <v>14</v>
      </c>
      <c r="K479" s="14" t="str">
        <f>HYPERLINK("http://twitter.com/download/android","Twitter for Android")</f>
        <v>Twitter for Android</v>
      </c>
      <c r="L479" s="13">
        <v>2643</v>
      </c>
      <c r="M479" s="13">
        <v>2613</v>
      </c>
      <c r="N479" s="13">
        <v>39</v>
      </c>
      <c r="O479" s="15"/>
      <c r="P479" s="6">
        <v>41909.830324074072</v>
      </c>
      <c r="Q479" s="16" t="s">
        <v>970</v>
      </c>
      <c r="R479" s="17" t="s">
        <v>971</v>
      </c>
      <c r="S479" s="12"/>
      <c r="T479" s="12"/>
      <c r="U479" s="10" t="str">
        <f>HYPERLINK("https://pbs.twimg.com/profile_images/853268927295651840/NrJbbaHk.jpg","View")</f>
        <v>View</v>
      </c>
    </row>
    <row r="480" spans="1:21" ht="20.399999999999999">
      <c r="A480" s="6">
        <v>43440.74083333333</v>
      </c>
      <c r="B480" s="7" t="str">
        <f>HYPERLINK("https://twitter.com/JessyBrunos","@JessyBrunos")</f>
        <v>@JessyBrunos</v>
      </c>
      <c r="C480" s="8" t="s">
        <v>1817</v>
      </c>
      <c r="D480" s="9" t="s">
        <v>1818</v>
      </c>
      <c r="E480" s="10" t="str">
        <f>HYPERLINK("https://twitter.com/JessyBrunos/status/1070721227961102336","1070721227961102336")</f>
        <v>1070721227961102336</v>
      </c>
      <c r="F480" s="11" t="s">
        <v>1819</v>
      </c>
      <c r="G480" s="12"/>
      <c r="H480" s="12"/>
      <c r="I480" s="13">
        <v>0</v>
      </c>
      <c r="J480" s="13">
        <v>0</v>
      </c>
      <c r="K480" s="14" t="str">
        <f>HYPERLINK("https://ifttt.com","IFTTT")</f>
        <v>IFTTT</v>
      </c>
      <c r="L480" s="13">
        <v>1292</v>
      </c>
      <c r="M480" s="13">
        <v>4</v>
      </c>
      <c r="N480" s="13">
        <v>64</v>
      </c>
      <c r="O480" s="15"/>
      <c r="P480" s="6">
        <v>41883.623159722221</v>
      </c>
      <c r="Q480" s="16" t="s">
        <v>191</v>
      </c>
      <c r="R480" s="17" t="s">
        <v>1820</v>
      </c>
      <c r="S480" s="12"/>
      <c r="T480" s="12"/>
      <c r="U480" s="10" t="str">
        <f>HYPERLINK("https://pbs.twimg.com/profile_images/506426079444086784/Z_tVo-k9.jpeg","View")</f>
        <v>View</v>
      </c>
    </row>
    <row r="481" spans="1:21" ht="30.6">
      <c r="A481" s="6">
        <v>43440.739756944444</v>
      </c>
      <c r="B481" s="7" t="str">
        <f>HYPERLINK("https://twitter.com/Monsesgar","@Monsesgar")</f>
        <v>@Monsesgar</v>
      </c>
      <c r="C481" s="8" t="s">
        <v>1821</v>
      </c>
      <c r="D481" s="9" t="s">
        <v>1822</v>
      </c>
      <c r="E481" s="10" t="str">
        <f>HYPERLINK("https://twitter.com/Monsesgar/status/1070720839258202113","1070720839258202113")</f>
        <v>1070720839258202113</v>
      </c>
      <c r="F481" s="11" t="s">
        <v>479</v>
      </c>
      <c r="G481" s="12"/>
      <c r="H481" s="12"/>
      <c r="I481" s="13">
        <v>0</v>
      </c>
      <c r="J481" s="13">
        <v>0</v>
      </c>
      <c r="K481" s="14" t="str">
        <f>HYPERLINK("http://twitter.com/download/iphone","Twitter for iPhone")</f>
        <v>Twitter for iPhone</v>
      </c>
      <c r="L481" s="13">
        <v>621</v>
      </c>
      <c r="M481" s="13">
        <v>794</v>
      </c>
      <c r="N481" s="13">
        <v>42</v>
      </c>
      <c r="O481" s="15"/>
      <c r="P481" s="6">
        <v>42650.697743055556</v>
      </c>
      <c r="Q481" s="12"/>
      <c r="R481" s="20"/>
      <c r="S481" s="12"/>
      <c r="T481" s="12"/>
      <c r="U481" s="10" t="str">
        <f>HYPERLINK("https://pbs.twimg.com/profile_images/784408830297899008/GxxTkfZv.jpg","View")</f>
        <v>View</v>
      </c>
    </row>
    <row r="482" spans="1:21" ht="51">
      <c r="A482" s="6">
        <v>43440.739328703705</v>
      </c>
      <c r="B482" s="7" t="str">
        <f>HYPERLINK("https://twitter.com/CalDirHo","@CalDirHo")</f>
        <v>@CalDirHo</v>
      </c>
      <c r="C482" s="8" t="s">
        <v>1824</v>
      </c>
      <c r="D482" s="9" t="s">
        <v>1825</v>
      </c>
      <c r="E482" s="10" t="str">
        <f>HYPERLINK("https://twitter.com/CalDirHo/status/1070720680893865984","1070720680893865984")</f>
        <v>1070720680893865984</v>
      </c>
      <c r="F482" s="12"/>
      <c r="G482" s="12"/>
      <c r="H482" s="12"/>
      <c r="I482" s="13">
        <v>0</v>
      </c>
      <c r="J482" s="13">
        <v>0</v>
      </c>
      <c r="K482" s="14" t="str">
        <f t="shared" ref="K482:K483" si="92">HYPERLINK("http://twitter.com","Twitter Web Client")</f>
        <v>Twitter Web Client</v>
      </c>
      <c r="L482" s="13">
        <v>6764</v>
      </c>
      <c r="M482" s="13">
        <v>819</v>
      </c>
      <c r="N482" s="13">
        <v>154</v>
      </c>
      <c r="O482" s="15"/>
      <c r="P482" s="6">
        <v>40507.540324074071</v>
      </c>
      <c r="Q482" s="16" t="s">
        <v>1826</v>
      </c>
      <c r="R482" s="17" t="s">
        <v>1827</v>
      </c>
      <c r="S482" s="12"/>
      <c r="T482" s="12"/>
      <c r="U482" s="10" t="str">
        <f>HYPERLINK("https://pbs.twimg.com/profile_images/936158164755603456/1CoJ42YX.jpg","View")</f>
        <v>View</v>
      </c>
    </row>
    <row r="483" spans="1:21" ht="30.6">
      <c r="A483" s="6">
        <v>43440.738518518519</v>
      </c>
      <c r="B483" s="7" t="str">
        <f>HYPERLINK("https://twitter.com/Pedro_Castro","@Pedro_Castro")</f>
        <v>@Pedro_Castro</v>
      </c>
      <c r="C483" s="8" t="s">
        <v>1828</v>
      </c>
      <c r="D483" s="9" t="s">
        <v>1209</v>
      </c>
      <c r="E483" s="10" t="str">
        <f>HYPERLINK("https://twitter.com/Pedro_Castro/status/1070720387309293568","1070720387309293568")</f>
        <v>1070720387309293568</v>
      </c>
      <c r="F483" s="11" t="s">
        <v>621</v>
      </c>
      <c r="G483" s="12"/>
      <c r="H483" s="12"/>
      <c r="I483" s="13">
        <v>1</v>
      </c>
      <c r="J483" s="13">
        <v>0</v>
      </c>
      <c r="K483" s="14" t="str">
        <f t="shared" si="92"/>
        <v>Twitter Web Client</v>
      </c>
      <c r="L483" s="13">
        <v>12369</v>
      </c>
      <c r="M483" s="13">
        <v>5931</v>
      </c>
      <c r="N483" s="13">
        <v>412</v>
      </c>
      <c r="O483" s="15"/>
      <c r="P483" s="6">
        <v>39811.502395833333</v>
      </c>
      <c r="Q483" s="16" t="s">
        <v>1829</v>
      </c>
      <c r="R483" s="17" t="s">
        <v>1830</v>
      </c>
      <c r="S483" s="11" t="s">
        <v>1831</v>
      </c>
      <c r="T483" s="12"/>
      <c r="U483" s="10" t="str">
        <f>HYPERLINK("https://pbs.twimg.com/profile_images/1423190616/203177_1104736911_528524_n2.jpg","View")</f>
        <v>View</v>
      </c>
    </row>
    <row r="484" spans="1:21" ht="51">
      <c r="A484" s="6">
        <v>43440.734942129631</v>
      </c>
      <c r="B484" s="7" t="str">
        <f>HYPERLINK("https://twitter.com/MadridDirectoOM","@MadridDirectoOM")</f>
        <v>@MadridDirectoOM</v>
      </c>
      <c r="C484" s="8" t="s">
        <v>1832</v>
      </c>
      <c r="D484" s="9" t="s">
        <v>1833</v>
      </c>
      <c r="E484" s="10" t="str">
        <f>HYPERLINK("https://twitter.com/MadridDirectoOM/status/1070719093081325568","1070719093081325568")</f>
        <v>1070719093081325568</v>
      </c>
      <c r="F484" s="11" t="s">
        <v>1834</v>
      </c>
      <c r="G484" s="11" t="s">
        <v>1835</v>
      </c>
      <c r="H484" s="12"/>
      <c r="I484" s="13">
        <v>1</v>
      </c>
      <c r="J484" s="13">
        <v>0</v>
      </c>
      <c r="K484" s="14" t="str">
        <f>HYPERLINK("http://twitter.com/download/android","Twitter for Android")</f>
        <v>Twitter for Android</v>
      </c>
      <c r="L484" s="13">
        <v>6117</v>
      </c>
      <c r="M484" s="13">
        <v>5335</v>
      </c>
      <c r="N484" s="13">
        <v>78</v>
      </c>
      <c r="O484" s="15"/>
      <c r="P484" s="6">
        <v>40886.460092592592</v>
      </c>
      <c r="Q484" s="16" t="s">
        <v>1836</v>
      </c>
      <c r="R484" s="17" t="s">
        <v>1837</v>
      </c>
      <c r="S484" s="11" t="s">
        <v>1838</v>
      </c>
      <c r="T484" s="12"/>
      <c r="U484" s="10" t="str">
        <f>HYPERLINK("https://pbs.twimg.com/profile_images/906436869944160256/s5XoxWwd.jpg","View")</f>
        <v>View</v>
      </c>
    </row>
    <row r="485" spans="1:21" ht="30.6">
      <c r="A485" s="6">
        <v>43440.730138888888</v>
      </c>
      <c r="B485" s="7" t="str">
        <f t="shared" ref="B485:B486" si="93">HYPERLINK("https://twitter.com/luisdecairo","@luisdecairo")</f>
        <v>@luisdecairo</v>
      </c>
      <c r="C485" s="8" t="s">
        <v>1839</v>
      </c>
      <c r="D485" s="9" t="s">
        <v>1209</v>
      </c>
      <c r="E485" s="10" t="str">
        <f>HYPERLINK("https://twitter.com/luisdecairo/status/1070717350603829248","1070717350603829248")</f>
        <v>1070717350603829248</v>
      </c>
      <c r="F485" s="11" t="s">
        <v>621</v>
      </c>
      <c r="G485" s="12"/>
      <c r="H485" s="12"/>
      <c r="I485" s="13">
        <v>0</v>
      </c>
      <c r="J485" s="13">
        <v>0</v>
      </c>
      <c r="K485" s="14" t="str">
        <f t="shared" ref="K485:K487" si="94">HYPERLINK("http://twitter.com","Twitter Web Client")</f>
        <v>Twitter Web Client</v>
      </c>
      <c r="L485" s="13">
        <v>667</v>
      </c>
      <c r="M485" s="13">
        <v>1160</v>
      </c>
      <c r="N485" s="13">
        <v>14</v>
      </c>
      <c r="O485" s="15"/>
      <c r="P485" s="6">
        <v>41388.769780092596</v>
      </c>
      <c r="Q485" s="16" t="s">
        <v>1840</v>
      </c>
      <c r="R485" s="17" t="s">
        <v>1841</v>
      </c>
      <c r="S485" s="12"/>
      <c r="T485" s="12"/>
      <c r="U485" s="10" t="str">
        <f t="shared" ref="U485:U486" si="95">HYPERLINK("https://pbs.twimg.com/profile_images/971895609920774145/LsoSGx_g.jpg","View")</f>
        <v>View</v>
      </c>
    </row>
    <row r="486" spans="1:21" ht="30.6">
      <c r="A486" s="6">
        <v>43440.729884259257</v>
      </c>
      <c r="B486" s="7" t="str">
        <f t="shared" si="93"/>
        <v>@luisdecairo</v>
      </c>
      <c r="C486" s="8" t="s">
        <v>1839</v>
      </c>
      <c r="D486" s="9" t="s">
        <v>1364</v>
      </c>
      <c r="E486" s="10" t="str">
        <f>HYPERLINK("https://twitter.com/luisdecairo/status/1070717259579039744","1070717259579039744")</f>
        <v>1070717259579039744</v>
      </c>
      <c r="F486" s="11" t="s">
        <v>1421</v>
      </c>
      <c r="G486" s="12"/>
      <c r="H486" s="12"/>
      <c r="I486" s="13">
        <v>0</v>
      </c>
      <c r="J486" s="13">
        <v>0</v>
      </c>
      <c r="K486" s="14" t="str">
        <f t="shared" si="94"/>
        <v>Twitter Web Client</v>
      </c>
      <c r="L486" s="13">
        <v>667</v>
      </c>
      <c r="M486" s="13">
        <v>1160</v>
      </c>
      <c r="N486" s="13">
        <v>14</v>
      </c>
      <c r="O486" s="15"/>
      <c r="P486" s="6">
        <v>41388.769780092596</v>
      </c>
      <c r="Q486" s="16" t="s">
        <v>1840</v>
      </c>
      <c r="R486" s="17" t="s">
        <v>1841</v>
      </c>
      <c r="S486" s="12"/>
      <c r="T486" s="12"/>
      <c r="U486" s="10" t="str">
        <f t="shared" si="95"/>
        <v>View</v>
      </c>
    </row>
    <row r="487" spans="1:21" ht="20.399999999999999">
      <c r="A487" s="6">
        <v>43440.727222222224</v>
      </c>
      <c r="B487" s="7" t="str">
        <f>HYPERLINK("https://twitter.com/DavidVillaDom","@DavidVillaDom")</f>
        <v>@DavidVillaDom</v>
      </c>
      <c r="C487" s="8" t="s">
        <v>1842</v>
      </c>
      <c r="D487" s="9" t="s">
        <v>1843</v>
      </c>
      <c r="E487" s="10" t="str">
        <f>HYPERLINK("https://twitter.com/DavidVillaDom/status/1070716295392444418","1070716295392444418")</f>
        <v>1070716295392444418</v>
      </c>
      <c r="F487" s="11" t="s">
        <v>1300</v>
      </c>
      <c r="G487" s="12"/>
      <c r="H487" s="12"/>
      <c r="I487" s="13">
        <v>0</v>
      </c>
      <c r="J487" s="13">
        <v>0</v>
      </c>
      <c r="K487" s="14" t="str">
        <f t="shared" si="94"/>
        <v>Twitter Web Client</v>
      </c>
      <c r="L487" s="13">
        <v>1916</v>
      </c>
      <c r="M487" s="13">
        <v>1896</v>
      </c>
      <c r="N487" s="13">
        <v>44</v>
      </c>
      <c r="O487" s="15"/>
      <c r="P487" s="6">
        <v>40700.577731481484</v>
      </c>
      <c r="Q487" s="16" t="s">
        <v>30</v>
      </c>
      <c r="R487" s="17" t="s">
        <v>1844</v>
      </c>
      <c r="S487" s="12"/>
      <c r="T487" s="12"/>
      <c r="U487" s="10" t="str">
        <f>HYPERLINK("https://pbs.twimg.com/profile_images/793387530653687808/h7OLxt_l.jpg","View")</f>
        <v>View</v>
      </c>
    </row>
    <row r="488" spans="1:21" ht="51">
      <c r="A488" s="6">
        <v>43440.726018518515</v>
      </c>
      <c r="B488" s="7" t="str">
        <f>HYPERLINK("https://twitter.com/TaniaCrespo3","@TaniaCrespo3")</f>
        <v>@TaniaCrespo3</v>
      </c>
      <c r="C488" s="8" t="s">
        <v>1027</v>
      </c>
      <c r="D488" s="9" t="s">
        <v>1845</v>
      </c>
      <c r="E488" s="10" t="str">
        <f>HYPERLINK("https://twitter.com/TaniaCrespo3/status/1070715860023689218","1070715860023689218")</f>
        <v>1070715860023689218</v>
      </c>
      <c r="F488" s="12"/>
      <c r="G488" s="11" t="s">
        <v>1846</v>
      </c>
      <c r="H488" s="12"/>
      <c r="I488" s="13">
        <v>58</v>
      </c>
      <c r="J488" s="13">
        <v>86</v>
      </c>
      <c r="K488" s="14" t="str">
        <f>HYPERLINK("http://twitter.com/download/android","Twitter for Android")</f>
        <v>Twitter for Android</v>
      </c>
      <c r="L488" s="13">
        <v>923</v>
      </c>
      <c r="M488" s="13">
        <v>1765</v>
      </c>
      <c r="N488" s="13">
        <v>0</v>
      </c>
      <c r="O488" s="15"/>
      <c r="P488" s="6">
        <v>43257.829548611116</v>
      </c>
      <c r="Q488" s="16" t="s">
        <v>1029</v>
      </c>
      <c r="R488" s="17" t="s">
        <v>1030</v>
      </c>
      <c r="S488" s="12"/>
      <c r="T488" s="12"/>
      <c r="U488" s="10" t="str">
        <f>HYPERLINK("https://pbs.twimg.com/profile_images/1004426598471340033/zL90kJim.jpg","View")</f>
        <v>View</v>
      </c>
    </row>
    <row r="489" spans="1:21" ht="71.400000000000006">
      <c r="A489" s="6">
        <v>43440.725324074076</v>
      </c>
      <c r="B489" s="7" t="str">
        <f>HYPERLINK("https://twitter.com/pilar_diz","@pilar_diz")</f>
        <v>@pilar_diz</v>
      </c>
      <c r="C489" s="8" t="s">
        <v>1847</v>
      </c>
      <c r="D489" s="9" t="s">
        <v>1848</v>
      </c>
      <c r="E489" s="10" t="str">
        <f>HYPERLINK("https://twitter.com/pilar_diz/status/1070715609221091328","1070715609221091328")</f>
        <v>1070715609221091328</v>
      </c>
      <c r="F489" s="11" t="s">
        <v>1849</v>
      </c>
      <c r="G489" s="11" t="s">
        <v>1850</v>
      </c>
      <c r="H489" s="12"/>
      <c r="I489" s="13">
        <v>4</v>
      </c>
      <c r="J489" s="13">
        <v>14</v>
      </c>
      <c r="K489" s="14" t="str">
        <f>HYPERLINK("http://twitter.com/#!/download/ipad","Twitter for iPad")</f>
        <v>Twitter for iPad</v>
      </c>
      <c r="L489" s="13">
        <v>15588</v>
      </c>
      <c r="M489" s="13">
        <v>12215</v>
      </c>
      <c r="N489" s="13">
        <v>124</v>
      </c>
      <c r="O489" s="15"/>
      <c r="P489" s="6">
        <v>41104.116736111115</v>
      </c>
      <c r="Q489" s="12"/>
      <c r="R489" s="17" t="s">
        <v>1851</v>
      </c>
      <c r="S489" s="12"/>
      <c r="T489" s="12"/>
      <c r="U489" s="10" t="str">
        <f>HYPERLINK("https://pbs.twimg.com/profile_images/1066110753445486592/l-gmlFlS.jpg","View")</f>
        <v>View</v>
      </c>
    </row>
    <row r="490" spans="1:21" ht="30.6">
      <c r="A490" s="6">
        <v>43440.724305555559</v>
      </c>
      <c r="B490" s="7" t="str">
        <f>HYPERLINK("https://twitter.com/A3Noticias","@A3Noticias")</f>
        <v>@A3Noticias</v>
      </c>
      <c r="C490" s="8" t="s">
        <v>1852</v>
      </c>
      <c r="D490" s="9" t="s">
        <v>1853</v>
      </c>
      <c r="E490" s="10" t="str">
        <f>HYPERLINK("https://twitter.com/A3Noticias/status/1070715237408612353","1070715237408612353")</f>
        <v>1070715237408612353</v>
      </c>
      <c r="F490" s="11" t="s">
        <v>1854</v>
      </c>
      <c r="G490" s="12"/>
      <c r="H490" s="12"/>
      <c r="I490" s="13">
        <v>2</v>
      </c>
      <c r="J490" s="13">
        <v>2</v>
      </c>
      <c r="K490" s="14" t="str">
        <f>HYPERLINK("http://dogtrack.es","DogTrack_Oficial")</f>
        <v>DogTrack_Oficial</v>
      </c>
      <c r="L490" s="13">
        <v>1723923</v>
      </c>
      <c r="M490" s="13">
        <v>407</v>
      </c>
      <c r="N490" s="13">
        <v>8117</v>
      </c>
      <c r="O490" s="19" t="s">
        <v>44</v>
      </c>
      <c r="P490" s="6">
        <v>40318.523495370369</v>
      </c>
      <c r="Q490" s="12"/>
      <c r="R490" s="17" t="s">
        <v>1855</v>
      </c>
      <c r="S490" s="11" t="s">
        <v>1856</v>
      </c>
      <c r="T490" s="12"/>
      <c r="U490" s="10" t="str">
        <f>HYPERLINK("https://pbs.twimg.com/profile_images/1047424467411107840/znEO0bjJ.jpg","View")</f>
        <v>View</v>
      </c>
    </row>
    <row r="491" spans="1:21" ht="30.6">
      <c r="A491" s="6">
        <v>43440.723773148144</v>
      </c>
      <c r="B491" s="7" t="str">
        <f>HYPERLINK("https://twitter.com/pedrojimenezg","@pedrojimenezg")</f>
        <v>@pedrojimenezg</v>
      </c>
      <c r="C491" s="8" t="s">
        <v>1857</v>
      </c>
      <c r="D491" s="9" t="s">
        <v>1858</v>
      </c>
      <c r="E491" s="10" t="str">
        <f>HYPERLINK("https://twitter.com/pedrojimenezg/status/1070715047641604096","1070715047641604096")</f>
        <v>1070715047641604096</v>
      </c>
      <c r="F491" s="11" t="s">
        <v>1859</v>
      </c>
      <c r="G491" s="12"/>
      <c r="H491" s="12"/>
      <c r="I491" s="13">
        <v>0</v>
      </c>
      <c r="J491" s="13">
        <v>0</v>
      </c>
      <c r="K491" s="14" t="str">
        <f>HYPERLINK("http://twitter.com","Twitter Web Client")</f>
        <v>Twitter Web Client</v>
      </c>
      <c r="L491" s="13">
        <v>4060</v>
      </c>
      <c r="M491" s="13">
        <v>1424</v>
      </c>
      <c r="N491" s="13">
        <v>140</v>
      </c>
      <c r="O491" s="15"/>
      <c r="P491" s="6">
        <v>40570.285150462965</v>
      </c>
      <c r="Q491" s="16" t="s">
        <v>48</v>
      </c>
      <c r="R491" s="17" t="s">
        <v>1860</v>
      </c>
      <c r="S491" s="12"/>
      <c r="T491" s="12"/>
      <c r="U491" s="10" t="str">
        <f>HYPERLINK("https://pbs.twimg.com/profile_images/1045430535986667520/wIblhOXd.jpg","View")</f>
        <v>View</v>
      </c>
    </row>
    <row r="492" spans="1:21" ht="51">
      <c r="A492" s="6">
        <v>43440.719791666663</v>
      </c>
      <c r="B492" s="7" t="str">
        <f>HYPERLINK("https://twitter.com/RemediosRamos1","@RemediosRamos1")</f>
        <v>@RemediosRamos1</v>
      </c>
      <c r="C492" s="8" t="s">
        <v>1861</v>
      </c>
      <c r="D492" s="9" t="s">
        <v>1862</v>
      </c>
      <c r="E492" s="10" t="str">
        <f>HYPERLINK("https://twitter.com/RemediosRamos1/status/1070713604876484608","1070713604876484608")</f>
        <v>1070713604876484608</v>
      </c>
      <c r="F492" s="11" t="s">
        <v>141</v>
      </c>
      <c r="G492" s="12"/>
      <c r="H492" s="12"/>
      <c r="I492" s="13">
        <v>8</v>
      </c>
      <c r="J492" s="13">
        <v>8</v>
      </c>
      <c r="K492" s="14" t="str">
        <f>HYPERLINK("http://twitter.com/download/android","Twitter for Android")</f>
        <v>Twitter for Android</v>
      </c>
      <c r="L492" s="13">
        <v>5209</v>
      </c>
      <c r="M492" s="13">
        <v>3271</v>
      </c>
      <c r="N492" s="13">
        <v>53</v>
      </c>
      <c r="O492" s="15"/>
      <c r="P492" s="6">
        <v>41101.642187500001</v>
      </c>
      <c r="Q492" s="12"/>
      <c r="R492" s="17" t="s">
        <v>1863</v>
      </c>
      <c r="S492" s="12"/>
      <c r="T492" s="12"/>
      <c r="U492" s="10" t="str">
        <f>HYPERLINK("https://pbs.twimg.com/profile_images/739877584607924224/8I__L1vx.jpg","View")</f>
        <v>View</v>
      </c>
    </row>
    <row r="493" spans="1:21" ht="40.799999999999997">
      <c r="A493" s="6">
        <v>43440.718831018516</v>
      </c>
      <c r="B493" s="7" t="str">
        <f>HYPERLINK("https://twitter.com/lextresabogados","@lextresabogados")</f>
        <v>@lextresabogados</v>
      </c>
      <c r="C493" s="8" t="s">
        <v>1379</v>
      </c>
      <c r="D493" s="9" t="s">
        <v>1864</v>
      </c>
      <c r="E493" s="10" t="str">
        <f>HYPERLINK("https://twitter.com/lextresabogados/status/1070713256786956288","1070713256786956288")</f>
        <v>1070713256786956288</v>
      </c>
      <c r="F493" s="11" t="s">
        <v>1865</v>
      </c>
      <c r="G493" s="12"/>
      <c r="H493" s="12"/>
      <c r="I493" s="13">
        <v>0</v>
      </c>
      <c r="J493" s="13">
        <v>0</v>
      </c>
      <c r="K493" s="14" t="str">
        <f>HYPERLINK("http://35.180.36.179","botize nueva")</f>
        <v>botize nueva</v>
      </c>
      <c r="L493" s="13">
        <v>2912</v>
      </c>
      <c r="M493" s="13">
        <v>3525</v>
      </c>
      <c r="N493" s="13">
        <v>26</v>
      </c>
      <c r="O493" s="15"/>
      <c r="P493" s="6">
        <v>42880.770949074074</v>
      </c>
      <c r="Q493" s="16" t="s">
        <v>1130</v>
      </c>
      <c r="R493" s="17" t="s">
        <v>1383</v>
      </c>
      <c r="S493" s="11" t="s">
        <v>1384</v>
      </c>
      <c r="T493" s="12"/>
      <c r="U493" s="10" t="str">
        <f>HYPERLINK("https://pbs.twimg.com/profile_images/1068056978679898113/YnjKwiVy.jpg","View")</f>
        <v>View</v>
      </c>
    </row>
    <row r="494" spans="1:21" ht="30.6">
      <c r="A494" s="6">
        <v>43440.71675925926</v>
      </c>
      <c r="B494" s="7" t="str">
        <f>HYPERLINK("https://twitter.com/CastrVicente","@CastrVicente")</f>
        <v>@CastrVicente</v>
      </c>
      <c r="C494" s="8" t="s">
        <v>1866</v>
      </c>
      <c r="D494" s="9" t="s">
        <v>1209</v>
      </c>
      <c r="E494" s="10" t="str">
        <f>HYPERLINK("https://twitter.com/CastrVicente/status/1070712503750090753","1070712503750090753")</f>
        <v>1070712503750090753</v>
      </c>
      <c r="F494" s="11" t="s">
        <v>621</v>
      </c>
      <c r="G494" s="12"/>
      <c r="H494" s="12"/>
      <c r="I494" s="13">
        <v>0</v>
      </c>
      <c r="J494" s="13">
        <v>0</v>
      </c>
      <c r="K494" s="14" t="str">
        <f>HYPERLINK("http://twitter.com","Twitter Web Client")</f>
        <v>Twitter Web Client</v>
      </c>
      <c r="L494" s="13">
        <v>1569</v>
      </c>
      <c r="M494" s="13">
        <v>1474</v>
      </c>
      <c r="N494" s="13">
        <v>83</v>
      </c>
      <c r="O494" s="15"/>
      <c r="P494" s="6">
        <v>40682.790925925925</v>
      </c>
      <c r="Q494" s="16" t="s">
        <v>1867</v>
      </c>
      <c r="R494" s="17" t="s">
        <v>1868</v>
      </c>
      <c r="S494" s="11" t="s">
        <v>1869</v>
      </c>
      <c r="T494" s="12"/>
      <c r="U494" s="10" t="str">
        <f>HYPERLINK("https://pbs.twimg.com/profile_images/935107063239364608/NPDVe0Fy.jpg","View")</f>
        <v>View</v>
      </c>
    </row>
    <row r="495" spans="1:21" ht="51">
      <c r="A495" s="6">
        <v>43440.712766203702</v>
      </c>
      <c r="B495" s="7" t="str">
        <f>HYPERLINK("https://twitter.com/Totacortes","@Totacortes")</f>
        <v>@Totacortes</v>
      </c>
      <c r="C495" s="8" t="s">
        <v>1870</v>
      </c>
      <c r="D495" s="9" t="s">
        <v>1871</v>
      </c>
      <c r="E495" s="10" t="str">
        <f>HYPERLINK("https://twitter.com/Totacortes/status/1070711058250100739","1070711058250100739")</f>
        <v>1070711058250100739</v>
      </c>
      <c r="F495" s="12"/>
      <c r="G495" s="12"/>
      <c r="H495" s="12"/>
      <c r="I495" s="13">
        <v>0</v>
      </c>
      <c r="J495" s="13">
        <v>2</v>
      </c>
      <c r="K495" s="14" t="str">
        <f>HYPERLINK("http://twitter.com/download/android","Twitter for Android")</f>
        <v>Twitter for Android</v>
      </c>
      <c r="L495" s="13">
        <v>46</v>
      </c>
      <c r="M495" s="13">
        <v>102</v>
      </c>
      <c r="N495" s="13">
        <v>0</v>
      </c>
      <c r="O495" s="15"/>
      <c r="P495" s="6">
        <v>40192.042442129634</v>
      </c>
      <c r="Q495" s="12"/>
      <c r="R495" s="20"/>
      <c r="S495" s="12"/>
      <c r="T495" s="12"/>
      <c r="U495" s="10" t="str">
        <f>HYPERLINK("https://pbs.twimg.com/profile_images/1040458462067605504/pYUesm1O.jpg","View")</f>
        <v>View</v>
      </c>
    </row>
    <row r="496" spans="1:21" ht="40.799999999999997">
      <c r="A496" s="6">
        <v>43440.712025462963</v>
      </c>
      <c r="B496" s="7" t="str">
        <f>HYPERLINK("https://twitter.com/diariodeteruel","@diariodeteruel")</f>
        <v>@diariodeteruel</v>
      </c>
      <c r="C496" s="8" t="s">
        <v>1872</v>
      </c>
      <c r="D496" s="9" t="s">
        <v>1873</v>
      </c>
      <c r="E496" s="10" t="str">
        <f>HYPERLINK("https://twitter.com/diariodeteruel/status/1070710788543922182","1070710788543922182")</f>
        <v>1070710788543922182</v>
      </c>
      <c r="F496" s="11" t="s">
        <v>1874</v>
      </c>
      <c r="G496" s="12"/>
      <c r="H496" s="12"/>
      <c r="I496" s="13">
        <v>0</v>
      </c>
      <c r="J496" s="13">
        <v>0</v>
      </c>
      <c r="K496" s="14" t="str">
        <f>HYPERLINK("http://twitter.com","Twitter Web Client")</f>
        <v>Twitter Web Client</v>
      </c>
      <c r="L496" s="13">
        <v>11603</v>
      </c>
      <c r="M496" s="13">
        <v>556</v>
      </c>
      <c r="N496" s="13">
        <v>223</v>
      </c>
      <c r="O496" s="15"/>
      <c r="P496" s="6">
        <v>40337.80259259259</v>
      </c>
      <c r="Q496" s="16" t="s">
        <v>1875</v>
      </c>
      <c r="R496" s="17" t="s">
        <v>1876</v>
      </c>
      <c r="S496" s="11" t="s">
        <v>1877</v>
      </c>
      <c r="T496" s="12"/>
      <c r="U496" s="10" t="str">
        <f>HYPERLINK("https://pbs.twimg.com/profile_images/2992653372/e27534bfc6ddb13e4dc80163b70127e9.jpeg","View")</f>
        <v>View</v>
      </c>
    </row>
    <row r="497" spans="1:21" ht="20.399999999999999">
      <c r="A497" s="6">
        <v>43440.7112962963</v>
      </c>
      <c r="B497" s="7" t="str">
        <f>HYPERLINK("https://twitter.com/ManuBalboa1","@ManuBalboa1")</f>
        <v>@ManuBalboa1</v>
      </c>
      <c r="C497" s="8" t="s">
        <v>1878</v>
      </c>
      <c r="D497" s="9" t="s">
        <v>1879</v>
      </c>
      <c r="E497" s="10" t="str">
        <f>HYPERLINK("https://twitter.com/ManuBalboa1/status/1070710526030827525","1070710526030827525")</f>
        <v>1070710526030827525</v>
      </c>
      <c r="F497" s="12"/>
      <c r="G497" s="11" t="s">
        <v>1880</v>
      </c>
      <c r="H497" s="12"/>
      <c r="I497" s="13">
        <v>0</v>
      </c>
      <c r="J497" s="13">
        <v>0</v>
      </c>
      <c r="K497" s="14" t="str">
        <f>HYPERLINK("https://mobile.twitter.com","Twitter Lite")</f>
        <v>Twitter Lite</v>
      </c>
      <c r="L497" s="13">
        <v>135</v>
      </c>
      <c r="M497" s="13">
        <v>49</v>
      </c>
      <c r="N497" s="13">
        <v>1</v>
      </c>
      <c r="O497" s="15"/>
      <c r="P497" s="6">
        <v>43228.075752314813</v>
      </c>
      <c r="Q497" s="12"/>
      <c r="R497" s="17" t="s">
        <v>1881</v>
      </c>
      <c r="S497" s="12"/>
      <c r="T497" s="12"/>
      <c r="U497" s="10" t="str">
        <f>HYPERLINK("https://pbs.twimg.com/profile_images/993641193912393728/8jr50NUa.jpg","View")</f>
        <v>View</v>
      </c>
    </row>
    <row r="498" spans="1:21" ht="30.6">
      <c r="A498" s="6">
        <v>43440.709363425922</v>
      </c>
      <c r="B498" s="7" t="str">
        <f>HYPERLINK("https://twitter.com/LaVanguardia","@LaVanguardia")</f>
        <v>@LaVanguardia</v>
      </c>
      <c r="C498" s="8" t="s">
        <v>1882</v>
      </c>
      <c r="D498" s="9" t="s">
        <v>1864</v>
      </c>
      <c r="E498" s="10" t="str">
        <f>HYPERLINK("https://twitter.com/LaVanguardia/status/1070709825900814337","1070709825900814337")</f>
        <v>1070709825900814337</v>
      </c>
      <c r="F498" s="11" t="s">
        <v>1865</v>
      </c>
      <c r="G498" s="12"/>
      <c r="H498" s="12"/>
      <c r="I498" s="13">
        <v>4</v>
      </c>
      <c r="J498" s="13">
        <v>3</v>
      </c>
      <c r="K498" s="14" t="str">
        <f>HYPERLINK("http://www.lavanguardia.es","App publicación twits DGRID")</f>
        <v>App publicación twits DGRID</v>
      </c>
      <c r="L498" s="13">
        <v>999502</v>
      </c>
      <c r="M498" s="13">
        <v>524</v>
      </c>
      <c r="N498" s="13">
        <v>12585</v>
      </c>
      <c r="O498" s="19" t="s">
        <v>44</v>
      </c>
      <c r="P498" s="6">
        <v>40071.664548611108</v>
      </c>
      <c r="Q498" s="16" t="s">
        <v>1455</v>
      </c>
      <c r="R498" s="17" t="s">
        <v>1883</v>
      </c>
      <c r="S498" s="11" t="s">
        <v>1884</v>
      </c>
      <c r="T498" s="12"/>
      <c r="U498" s="10" t="str">
        <f>HYPERLINK("https://pbs.twimg.com/profile_images/936873783721320448/6Q97S0pp.jpg","View")</f>
        <v>View</v>
      </c>
    </row>
    <row r="499" spans="1:21" ht="30.6">
      <c r="A499" s="6">
        <v>43440.708449074074</v>
      </c>
      <c r="B499" s="7" t="str">
        <f t="shared" ref="B499:B500" si="96">HYPERLINK("https://twitter.com/Anita_Thomsen_","@Anita_Thomsen_")</f>
        <v>@Anita_Thomsen_</v>
      </c>
      <c r="C499" s="8" t="s">
        <v>759</v>
      </c>
      <c r="D499" s="9" t="s">
        <v>1209</v>
      </c>
      <c r="E499" s="10" t="str">
        <f>HYPERLINK("https://twitter.com/Anita_Thomsen_/status/1070709492545921024","1070709492545921024")</f>
        <v>1070709492545921024</v>
      </c>
      <c r="F499" s="11" t="s">
        <v>621</v>
      </c>
      <c r="G499" s="12"/>
      <c r="H499" s="12"/>
      <c r="I499" s="13">
        <v>0</v>
      </c>
      <c r="J499" s="13">
        <v>0</v>
      </c>
      <c r="K499" s="14" t="str">
        <f t="shared" ref="K499:K500" si="97">HYPERLINK("http://twitter.com","Twitter Web Client")</f>
        <v>Twitter Web Client</v>
      </c>
      <c r="L499" s="13">
        <v>1071</v>
      </c>
      <c r="M499" s="13">
        <v>2123</v>
      </c>
      <c r="N499" s="13">
        <v>49</v>
      </c>
      <c r="O499" s="15"/>
      <c r="P499" s="6">
        <v>40680.839131944442</v>
      </c>
      <c r="Q499" s="16" t="s">
        <v>175</v>
      </c>
      <c r="R499" s="20"/>
      <c r="S499" s="11" t="s">
        <v>760</v>
      </c>
      <c r="T499" s="12"/>
      <c r="U499" s="10" t="str">
        <f t="shared" ref="U499:U500" si="98">HYPERLINK("https://pbs.twimg.com/profile_images/1359534321/9-2-2011.JPG","View")</f>
        <v>View</v>
      </c>
    </row>
    <row r="500" spans="1:21" ht="30.6">
      <c r="A500" s="6">
        <v>43440.70716435185</v>
      </c>
      <c r="B500" s="7" t="str">
        <f t="shared" si="96"/>
        <v>@Anita_Thomsen_</v>
      </c>
      <c r="C500" s="8" t="s">
        <v>759</v>
      </c>
      <c r="D500" s="9" t="s">
        <v>1364</v>
      </c>
      <c r="E500" s="10" t="str">
        <f>HYPERLINK("https://twitter.com/Anita_Thomsen_/status/1070709025954770944","1070709025954770944")</f>
        <v>1070709025954770944</v>
      </c>
      <c r="F500" s="11" t="s">
        <v>1421</v>
      </c>
      <c r="G500" s="12"/>
      <c r="H500" s="12"/>
      <c r="I500" s="13">
        <v>0</v>
      </c>
      <c r="J500" s="13">
        <v>0</v>
      </c>
      <c r="K500" s="14" t="str">
        <f t="shared" si="97"/>
        <v>Twitter Web Client</v>
      </c>
      <c r="L500" s="13">
        <v>1071</v>
      </c>
      <c r="M500" s="13">
        <v>2123</v>
      </c>
      <c r="N500" s="13">
        <v>49</v>
      </c>
      <c r="O500" s="15"/>
      <c r="P500" s="6">
        <v>40680.839131944442</v>
      </c>
      <c r="Q500" s="16" t="s">
        <v>175</v>
      </c>
      <c r="R500" s="20"/>
      <c r="S500" s="11" t="s">
        <v>760</v>
      </c>
      <c r="T500" s="12"/>
      <c r="U500" s="10" t="str">
        <f t="shared" si="98"/>
        <v>View</v>
      </c>
    </row>
    <row r="501" spans="1:21" ht="40.799999999999997">
      <c r="A501" s="6">
        <v>43440.705509259264</v>
      </c>
      <c r="B501" s="7" t="str">
        <f>HYPERLINK("https://twitter.com/L44castilla","@L44castilla")</f>
        <v>@L44castilla</v>
      </c>
      <c r="C501" s="8" t="s">
        <v>1885</v>
      </c>
      <c r="D501" s="9" t="s">
        <v>1886</v>
      </c>
      <c r="E501" s="10" t="str">
        <f>HYPERLINK("https://twitter.com/L44castilla/status/1070708428866236416","1070708428866236416")</f>
        <v>1070708428866236416</v>
      </c>
      <c r="F501" s="12"/>
      <c r="G501" s="11" t="s">
        <v>1887</v>
      </c>
      <c r="H501" s="12"/>
      <c r="I501" s="13">
        <v>1</v>
      </c>
      <c r="J501" s="13">
        <v>2</v>
      </c>
      <c r="K501" s="14" t="str">
        <f>HYPERLINK("http://twitter.com/download/android","Twitter for Android")</f>
        <v>Twitter for Android</v>
      </c>
      <c r="L501" s="13">
        <v>3421</v>
      </c>
      <c r="M501" s="13">
        <v>4858</v>
      </c>
      <c r="N501" s="13">
        <v>15</v>
      </c>
      <c r="O501" s="15"/>
      <c r="P501" s="6">
        <v>40546.666168981479</v>
      </c>
      <c r="Q501" s="12"/>
      <c r="R501" s="17" t="s">
        <v>1888</v>
      </c>
      <c r="S501" s="12"/>
      <c r="T501" s="12"/>
      <c r="U501" s="10" t="str">
        <f>HYPERLINK("https://pbs.twimg.com/profile_images/899028331714289665/Mip5yTwF.jpg","View")</f>
        <v>View</v>
      </c>
    </row>
    <row r="502" spans="1:21" ht="30.6">
      <c r="A502" s="6">
        <v>43440.70521990741</v>
      </c>
      <c r="B502" s="7" t="str">
        <f>HYPERLINK("https://twitter.com/canarias7","@canarias7")</f>
        <v>@canarias7</v>
      </c>
      <c r="C502" s="8" t="s">
        <v>1889</v>
      </c>
      <c r="D502" s="9" t="s">
        <v>1890</v>
      </c>
      <c r="E502" s="10" t="str">
        <f>HYPERLINK("https://twitter.com/canarias7/status/1070708324130263040","1070708324130263040")</f>
        <v>1070708324130263040</v>
      </c>
      <c r="F502" s="11" t="s">
        <v>1891</v>
      </c>
      <c r="G502" s="12"/>
      <c r="H502" s="12"/>
      <c r="I502" s="13">
        <v>0</v>
      </c>
      <c r="J502" s="13">
        <v>2</v>
      </c>
      <c r="K502" s="14" t="str">
        <f>HYPERLINK("http://twitter.com","Twitter Web Client")</f>
        <v>Twitter Web Client</v>
      </c>
      <c r="L502" s="13">
        <v>70432</v>
      </c>
      <c r="M502" s="13">
        <v>1441</v>
      </c>
      <c r="N502" s="13">
        <v>774</v>
      </c>
      <c r="O502" s="15"/>
      <c r="P502" s="6">
        <v>40044.757673611108</v>
      </c>
      <c r="Q502" s="16" t="s">
        <v>1075</v>
      </c>
      <c r="R502" s="17" t="s">
        <v>1892</v>
      </c>
      <c r="S502" s="11" t="s">
        <v>1893</v>
      </c>
      <c r="T502" s="12"/>
      <c r="U502" s="10" t="str">
        <f>HYPERLINK("https://pbs.twimg.com/profile_images/943178540039667712/0hTdukSA.jpg","View")</f>
        <v>View</v>
      </c>
    </row>
    <row r="503" spans="1:21" ht="40.799999999999997">
      <c r="A503" s="6">
        <v>43440.702592592592</v>
      </c>
      <c r="B503" s="7" t="str">
        <f>HYPERLINK("https://twitter.com/Laura_cruzd","@Laura_cruzd")</f>
        <v>@Laura_cruzd</v>
      </c>
      <c r="C503" s="8" t="s">
        <v>1894</v>
      </c>
      <c r="D503" s="9" t="s">
        <v>1895</v>
      </c>
      <c r="E503" s="10" t="str">
        <f>HYPERLINK("https://twitter.com/Laura_cruzd/status/1070707370416898050","1070707370416898050")</f>
        <v>1070707370416898050</v>
      </c>
      <c r="F503" s="16" t="s">
        <v>1896</v>
      </c>
      <c r="G503" s="11" t="s">
        <v>1897</v>
      </c>
      <c r="H503" s="12"/>
      <c r="I503" s="13">
        <v>0</v>
      </c>
      <c r="J503" s="13">
        <v>0</v>
      </c>
      <c r="K503" s="14" t="str">
        <f>HYPERLINK("http://twitter.com/download/iphone","Twitter for iPhone")</f>
        <v>Twitter for iPhone</v>
      </c>
      <c r="L503" s="13">
        <v>1737</v>
      </c>
      <c r="M503" s="13">
        <v>1610</v>
      </c>
      <c r="N503" s="13">
        <v>42</v>
      </c>
      <c r="O503" s="15"/>
      <c r="P503" s="6">
        <v>42179.111898148149</v>
      </c>
      <c r="Q503" s="16" t="s">
        <v>191</v>
      </c>
      <c r="R503" s="17" t="s">
        <v>1898</v>
      </c>
      <c r="S503" s="11" t="s">
        <v>1899</v>
      </c>
      <c r="T503" s="12"/>
      <c r="U503" s="10" t="str">
        <f>HYPERLINK("https://pbs.twimg.com/profile_images/786233488353681408/NBect9dU.jpg","View")</f>
        <v>View</v>
      </c>
    </row>
    <row r="504" spans="1:21" ht="61.2">
      <c r="A504" s="6">
        <v>43440.701168981483</v>
      </c>
      <c r="B504" s="7" t="str">
        <f>HYPERLINK("https://twitter.com/Pablo_Iglesias_","@Pablo_Iglesias_")</f>
        <v>@Pablo_Iglesias_</v>
      </c>
      <c r="C504" s="8" t="s">
        <v>1900</v>
      </c>
      <c r="D504" s="9" t="s">
        <v>1901</v>
      </c>
      <c r="E504" s="10" t="str">
        <f>HYPERLINK("https://twitter.com/Pablo_Iglesias_/status/1070706854165168128","1070706854165168128")</f>
        <v>1070706854165168128</v>
      </c>
      <c r="F504" s="12"/>
      <c r="G504" s="11" t="s">
        <v>1499</v>
      </c>
      <c r="H504" s="12"/>
      <c r="I504" s="13">
        <v>1666</v>
      </c>
      <c r="J504" s="13">
        <v>2619</v>
      </c>
      <c r="K504" s="14" t="str">
        <f t="shared" ref="K504:K506" si="99">HYPERLINK("http://twitter.com","Twitter Web Client")</f>
        <v>Twitter Web Client</v>
      </c>
      <c r="L504" s="13">
        <v>2243647</v>
      </c>
      <c r="M504" s="13">
        <v>2745</v>
      </c>
      <c r="N504" s="13">
        <v>8492</v>
      </c>
      <c r="O504" s="19" t="s">
        <v>44</v>
      </c>
      <c r="P504" s="6">
        <v>40351.575300925928</v>
      </c>
      <c r="Q504" s="16" t="s">
        <v>191</v>
      </c>
      <c r="R504" s="17" t="s">
        <v>1902</v>
      </c>
      <c r="S504" s="11" t="s">
        <v>1903</v>
      </c>
      <c r="T504" s="12"/>
      <c r="U504" s="10" t="str">
        <f>HYPERLINK("https://pbs.twimg.com/profile_images/902223370569338884/dL2D2A5P.jpg","View")</f>
        <v>View</v>
      </c>
    </row>
    <row r="505" spans="1:21" ht="30.6">
      <c r="A505" s="6">
        <v>43440.700821759259</v>
      </c>
      <c r="B505" s="7" t="str">
        <f>HYPERLINK("https://twitter.com/manuel_llamas","@manuel_llamas")</f>
        <v>@manuel_llamas</v>
      </c>
      <c r="C505" s="8" t="s">
        <v>1904</v>
      </c>
      <c r="D505" s="9" t="s">
        <v>1905</v>
      </c>
      <c r="E505" s="10" t="str">
        <f>HYPERLINK("https://twitter.com/manuel_llamas/status/1070706730508656640","1070706730508656640")</f>
        <v>1070706730508656640</v>
      </c>
      <c r="F505" s="11" t="s">
        <v>1389</v>
      </c>
      <c r="G505" s="12"/>
      <c r="H505" s="12"/>
      <c r="I505" s="13">
        <v>5</v>
      </c>
      <c r="J505" s="13">
        <v>9</v>
      </c>
      <c r="K505" s="14" t="str">
        <f t="shared" si="99"/>
        <v>Twitter Web Client</v>
      </c>
      <c r="L505" s="13">
        <v>30968</v>
      </c>
      <c r="M505" s="13">
        <v>370</v>
      </c>
      <c r="N505" s="13">
        <v>688</v>
      </c>
      <c r="O505" s="15"/>
      <c r="P505" s="6">
        <v>40079.814305555556</v>
      </c>
      <c r="Q505" s="16" t="s">
        <v>48</v>
      </c>
      <c r="R505" s="17" t="s">
        <v>1906</v>
      </c>
      <c r="S505" s="11" t="s">
        <v>1907</v>
      </c>
      <c r="T505" s="12"/>
      <c r="U505" s="10" t="str">
        <f>HYPERLINK("https://pbs.twimg.com/profile_images/1278365489/fotoperfil.jpg","View")</f>
        <v>View</v>
      </c>
    </row>
    <row r="506" spans="1:21" ht="40.799999999999997">
      <c r="A506" s="6">
        <v>43440.69902777778</v>
      </c>
      <c r="B506" s="7" t="str">
        <f>HYPERLINK("https://twitter.com/MiguelTrinidadA","@MiguelTrinidadA")</f>
        <v>@MiguelTrinidadA</v>
      </c>
      <c r="C506" s="8" t="s">
        <v>1909</v>
      </c>
      <c r="D506" s="9" t="s">
        <v>1910</v>
      </c>
      <c r="E506" s="10" t="str">
        <f>HYPERLINK("https://twitter.com/MiguelTrinidadA/status/1070706077283610624","1070706077283610624")</f>
        <v>1070706077283610624</v>
      </c>
      <c r="F506" s="11" t="s">
        <v>1911</v>
      </c>
      <c r="G506" s="12"/>
      <c r="H506" s="12"/>
      <c r="I506" s="13">
        <v>0</v>
      </c>
      <c r="J506" s="13">
        <v>2</v>
      </c>
      <c r="K506" s="14" t="str">
        <f t="shared" si="99"/>
        <v>Twitter Web Client</v>
      </c>
      <c r="L506" s="13">
        <v>3529</v>
      </c>
      <c r="M506" s="13">
        <v>3678</v>
      </c>
      <c r="N506" s="13">
        <v>35</v>
      </c>
      <c r="O506" s="15"/>
      <c r="P506" s="6">
        <v>41180.740416666667</v>
      </c>
      <c r="Q506" s="16" t="s">
        <v>48</v>
      </c>
      <c r="R506" s="17" t="s">
        <v>1912</v>
      </c>
      <c r="S506" s="12"/>
      <c r="T506" s="12"/>
      <c r="U506" s="10" t="str">
        <f>HYPERLINK("https://pbs.twimg.com/profile_images/843509060167262210/lz-DfFMm.jpg","View")</f>
        <v>View</v>
      </c>
    </row>
    <row r="507" spans="1:21" ht="51">
      <c r="A507" s="6">
        <v>43440.698321759264</v>
      </c>
      <c r="B507" s="7" t="str">
        <f>HYPERLINK("https://twitter.com/puertocruz05","@puertocruz05")</f>
        <v>@puertocruz05</v>
      </c>
      <c r="C507" s="8" t="s">
        <v>1913</v>
      </c>
      <c r="D507" s="9" t="s">
        <v>1914</v>
      </c>
      <c r="E507" s="10" t="str">
        <f>HYPERLINK("https://twitter.com/puertocruz05/status/1070705823943458817","1070705823943458817")</f>
        <v>1070705823943458817</v>
      </c>
      <c r="F507" s="11" t="s">
        <v>1915</v>
      </c>
      <c r="G507" s="12"/>
      <c r="H507" s="12"/>
      <c r="I507" s="13">
        <v>0</v>
      </c>
      <c r="J507" s="13">
        <v>0</v>
      </c>
      <c r="K507" s="14" t="str">
        <f>HYPERLINK("http://twitter.com/#!/download/ipad","Twitter for iPad")</f>
        <v>Twitter for iPad</v>
      </c>
      <c r="L507" s="13">
        <v>345</v>
      </c>
      <c r="M507" s="13">
        <v>972</v>
      </c>
      <c r="N507" s="13">
        <v>16</v>
      </c>
      <c r="O507" s="15"/>
      <c r="P507" s="6">
        <v>41259.492175925923</v>
      </c>
      <c r="Q507" s="12"/>
      <c r="R507" s="17" t="s">
        <v>1916</v>
      </c>
      <c r="S507" s="12"/>
      <c r="T507" s="12"/>
      <c r="U507" s="10" t="str">
        <f>HYPERLINK("https://pbs.twimg.com/profile_images/2981980426/f8258064e2f84e2f4c483b7c7811c046.jpeg","View")</f>
        <v>View</v>
      </c>
    </row>
    <row r="508" spans="1:21" ht="30.6">
      <c r="A508" s="6">
        <v>43440.698113425926</v>
      </c>
      <c r="B508" s="7" t="str">
        <f>HYPERLINK("https://twitter.com/inalterablecosa","@inalterablecosa")</f>
        <v>@inalterablecosa</v>
      </c>
      <c r="C508" s="8" t="s">
        <v>1917</v>
      </c>
      <c r="D508" s="9" t="s">
        <v>1918</v>
      </c>
      <c r="E508" s="10" t="str">
        <f>HYPERLINK("https://twitter.com/inalterablecosa/status/1070705748471148545","1070705748471148545")</f>
        <v>1070705748471148545</v>
      </c>
      <c r="F508" s="11" t="s">
        <v>1314</v>
      </c>
      <c r="G508" s="12"/>
      <c r="H508" s="12"/>
      <c r="I508" s="13">
        <v>0</v>
      </c>
      <c r="J508" s="13">
        <v>0</v>
      </c>
      <c r="K508" s="14" t="str">
        <f>HYPERLINK("https://buffer.com","Buffer")</f>
        <v>Buffer</v>
      </c>
      <c r="L508" s="13">
        <v>9419</v>
      </c>
      <c r="M508" s="13">
        <v>7466</v>
      </c>
      <c r="N508" s="13">
        <v>54</v>
      </c>
      <c r="O508" s="15"/>
      <c r="P508" s="6">
        <v>42021.491030092591</v>
      </c>
      <c r="Q508" s="16" t="s">
        <v>500</v>
      </c>
      <c r="R508" s="17" t="s">
        <v>1919</v>
      </c>
      <c r="S508" s="12"/>
      <c r="T508" s="12"/>
      <c r="U508" s="10" t="str">
        <f>HYPERLINK("https://pbs.twimg.com/profile_images/803657897729294337/OYR4fkJ2.jpg","View")</f>
        <v>View</v>
      </c>
    </row>
    <row r="509" spans="1:21" ht="51">
      <c r="A509" s="6">
        <v>43440.696817129632</v>
      </c>
      <c r="B509" s="7" t="str">
        <f>HYPERLINK("https://twitter.com/PP_Villena","@PP_Villena")</f>
        <v>@PP_Villena</v>
      </c>
      <c r="C509" s="8" t="s">
        <v>1920</v>
      </c>
      <c r="D509" s="9" t="s">
        <v>1921</v>
      </c>
      <c r="E509" s="10" t="str">
        <f>HYPERLINK("https://twitter.com/PP_Villena/status/1070705277316554752","1070705277316554752")</f>
        <v>1070705277316554752</v>
      </c>
      <c r="F509" s="11" t="s">
        <v>1922</v>
      </c>
      <c r="G509" s="12"/>
      <c r="H509" s="12"/>
      <c r="I509" s="13">
        <v>0</v>
      </c>
      <c r="J509" s="13">
        <v>0</v>
      </c>
      <c r="K509" s="14" t="str">
        <f>HYPERLINK("https://www.hootsuite.com","Hootsuite Inc.")</f>
        <v>Hootsuite Inc.</v>
      </c>
      <c r="L509" s="13">
        <v>1033</v>
      </c>
      <c r="M509" s="13">
        <v>1065</v>
      </c>
      <c r="N509" s="13">
        <v>7</v>
      </c>
      <c r="O509" s="15"/>
      <c r="P509" s="6">
        <v>40526.908020833333</v>
      </c>
      <c r="Q509" s="16" t="s">
        <v>1923</v>
      </c>
      <c r="R509" s="17" t="s">
        <v>1924</v>
      </c>
      <c r="S509" s="11" t="s">
        <v>1925</v>
      </c>
      <c r="T509" s="12"/>
      <c r="U509" s="10" t="str">
        <f>HYPERLINK("https://pbs.twimg.com/profile_images/857888363801694209/BlAMgMw4.jpg","View")</f>
        <v>View</v>
      </c>
    </row>
    <row r="510" spans="1:21" ht="51">
      <c r="A510" s="6">
        <v>43440.695833333331</v>
      </c>
      <c r="B510" s="7" t="str">
        <f>HYPERLINK("https://twitter.com/diariomedico","@diariomedico")</f>
        <v>@diariomedico</v>
      </c>
      <c r="C510" s="8" t="s">
        <v>1926</v>
      </c>
      <c r="D510" s="9" t="s">
        <v>1927</v>
      </c>
      <c r="E510" s="10" t="str">
        <f>HYPERLINK("https://twitter.com/diariomedico/status/1070704919936520193","1070704919936520193")</f>
        <v>1070704919936520193</v>
      </c>
      <c r="F510" s="11" t="s">
        <v>1928</v>
      </c>
      <c r="G510" s="12"/>
      <c r="H510" s="12"/>
      <c r="I510" s="13">
        <v>2</v>
      </c>
      <c r="J510" s="13">
        <v>4</v>
      </c>
      <c r="K510" s="14" t="str">
        <f>HYPERLINK("https://about.twitter.com/products/tweetdeck","TweetDeck")</f>
        <v>TweetDeck</v>
      </c>
      <c r="L510" s="13">
        <v>107865</v>
      </c>
      <c r="M510" s="13">
        <v>1249</v>
      </c>
      <c r="N510" s="13">
        <v>2162</v>
      </c>
      <c r="O510" s="15"/>
      <c r="P510" s="6">
        <v>39587.525671296295</v>
      </c>
      <c r="Q510" s="16" t="s">
        <v>191</v>
      </c>
      <c r="R510" s="17" t="s">
        <v>1929</v>
      </c>
      <c r="S510" s="11" t="s">
        <v>1930</v>
      </c>
      <c r="T510" s="12"/>
      <c r="U510" s="10" t="str">
        <f>HYPERLINK("https://pbs.twimg.com/profile_images/1014495600153415681/EqeO15tD.jpg","View")</f>
        <v>View</v>
      </c>
    </row>
    <row r="511" spans="1:21" ht="20.399999999999999">
      <c r="A511" s="6">
        <v>43440.695173611108</v>
      </c>
      <c r="B511" s="7" t="str">
        <f>HYPERLINK("https://twitter.com/nfSocialNews","@nfSocialNews")</f>
        <v>@nfSocialNews</v>
      </c>
      <c r="C511" s="8" t="s">
        <v>1931</v>
      </c>
      <c r="D511" s="9" t="s">
        <v>1932</v>
      </c>
      <c r="E511" s="10" t="str">
        <f>HYPERLINK("https://twitter.com/nfSocialNews/status/1070704679938482176","1070704679938482176")</f>
        <v>1070704679938482176</v>
      </c>
      <c r="F511" s="11" t="s">
        <v>1933</v>
      </c>
      <c r="G511" s="11" t="s">
        <v>1934</v>
      </c>
      <c r="H511" s="12"/>
      <c r="I511" s="13">
        <v>0</v>
      </c>
      <c r="J511" s="13">
        <v>0</v>
      </c>
      <c r="K511" s="14" t="str">
        <f>HYPERLINK("http://notifeed.net/","nfSocialNews")</f>
        <v>nfSocialNews</v>
      </c>
      <c r="L511" s="13">
        <v>188</v>
      </c>
      <c r="M511" s="13">
        <v>423</v>
      </c>
      <c r="N511" s="13">
        <v>0</v>
      </c>
      <c r="O511" s="15"/>
      <c r="P511" s="6">
        <v>43071.150196759263</v>
      </c>
      <c r="Q511" s="16" t="s">
        <v>1935</v>
      </c>
      <c r="R511" s="17" t="s">
        <v>1936</v>
      </c>
      <c r="S511" s="11" t="s">
        <v>1937</v>
      </c>
      <c r="T511" s="12"/>
      <c r="U511" s="10" t="str">
        <f>HYPERLINK("https://pbs.twimg.com/profile_images/937142210004488193/G7-sDOXf.jpg","View")</f>
        <v>View</v>
      </c>
    </row>
    <row r="512" spans="1:21" ht="51">
      <c r="A512" s="6">
        <v>43440.694224537037</v>
      </c>
      <c r="B512" s="7" t="str">
        <f>HYPERLINK("https://twitter.com/Live95866617","@Live95866617")</f>
        <v>@Live95866617</v>
      </c>
      <c r="C512" s="8" t="s">
        <v>1938</v>
      </c>
      <c r="D512" s="9" t="s">
        <v>1939</v>
      </c>
      <c r="E512" s="10" t="str">
        <f>HYPERLINK("https://twitter.com/Live95866617/status/1070704339424038914","1070704339424038914")</f>
        <v>1070704339424038914</v>
      </c>
      <c r="F512" s="11" t="s">
        <v>141</v>
      </c>
      <c r="G512" s="12"/>
      <c r="H512" s="12"/>
      <c r="I512" s="13">
        <v>59</v>
      </c>
      <c r="J512" s="13">
        <v>31</v>
      </c>
      <c r="K512" s="14" t="str">
        <f t="shared" ref="K512:K513" si="100">HYPERLINK("http://twitter.com/download/android","Twitter for Android")</f>
        <v>Twitter for Android</v>
      </c>
      <c r="L512" s="13">
        <v>713</v>
      </c>
      <c r="M512" s="13">
        <v>655</v>
      </c>
      <c r="N512" s="13">
        <v>2</v>
      </c>
      <c r="O512" s="15"/>
      <c r="P512" s="6">
        <v>43180.840046296296</v>
      </c>
      <c r="Q512" s="16" t="s">
        <v>48</v>
      </c>
      <c r="R512" s="17" t="s">
        <v>1940</v>
      </c>
      <c r="S512" s="12"/>
      <c r="T512" s="12"/>
      <c r="U512" s="10" t="str">
        <f>HYPERLINK("https://pbs.twimg.com/profile_images/1066710158078869505/0fTyrOzs.jpg","View")</f>
        <v>View</v>
      </c>
    </row>
    <row r="513" spans="1:21" ht="40.799999999999997">
      <c r="A513" s="6">
        <v>43440.692685185189</v>
      </c>
      <c r="B513" s="7" t="str">
        <f>HYPERLINK("https://twitter.com/diostuitero","@diostuitero")</f>
        <v>@diostuitero</v>
      </c>
      <c r="C513" s="8" t="s">
        <v>1941</v>
      </c>
      <c r="D513" s="9" t="s">
        <v>1942</v>
      </c>
      <c r="E513" s="10" t="str">
        <f>HYPERLINK("https://twitter.com/diostuitero/status/1070703777911631874","1070703777911631874")</f>
        <v>1070703777911631874</v>
      </c>
      <c r="F513" s="12"/>
      <c r="G513" s="12"/>
      <c r="H513" s="12"/>
      <c r="I513" s="13">
        <v>2558</v>
      </c>
      <c r="J513" s="13">
        <v>5310</v>
      </c>
      <c r="K513" s="14" t="str">
        <f t="shared" si="100"/>
        <v>Twitter for Android</v>
      </c>
      <c r="L513" s="13">
        <v>478363</v>
      </c>
      <c r="M513" s="13">
        <v>995</v>
      </c>
      <c r="N513" s="13">
        <v>2897</v>
      </c>
      <c r="O513" s="15"/>
      <c r="P513" s="6">
        <v>41156.99927083333</v>
      </c>
      <c r="Q513" s="16" t="s">
        <v>1943</v>
      </c>
      <c r="R513" s="17" t="s">
        <v>1944</v>
      </c>
      <c r="S513" s="11" t="s">
        <v>1945</v>
      </c>
      <c r="T513" s="12"/>
      <c r="U513" s="10" t="str">
        <f>HYPERLINK("https://pbs.twimg.com/profile_images/831603470067257345/-Vk84NaH.jpg","View")</f>
        <v>View</v>
      </c>
    </row>
    <row r="514" spans="1:21" ht="20.399999999999999">
      <c r="A514" s="6">
        <v>43440.692372685182</v>
      </c>
      <c r="B514" s="7" t="str">
        <f>HYPERLINK("https://twitter.com/voz_populi","@voz_populi")</f>
        <v>@voz_populi</v>
      </c>
      <c r="C514" s="8" t="s">
        <v>1559</v>
      </c>
      <c r="D514" s="9" t="s">
        <v>1560</v>
      </c>
      <c r="E514" s="10" t="str">
        <f>HYPERLINK("https://twitter.com/voz_populi/status/1070703665651040257","1070703665651040257")</f>
        <v>1070703665651040257</v>
      </c>
      <c r="F514" s="11" t="s">
        <v>1946</v>
      </c>
      <c r="G514" s="12"/>
      <c r="H514" s="12"/>
      <c r="I514" s="13">
        <v>0</v>
      </c>
      <c r="J514" s="13">
        <v>0</v>
      </c>
      <c r="K514" s="14" t="str">
        <f>HYPERLINK("https://buffer.com","Buffer")</f>
        <v>Buffer</v>
      </c>
      <c r="L514" s="13">
        <v>92928</v>
      </c>
      <c r="M514" s="13">
        <v>1396</v>
      </c>
      <c r="N514" s="13">
        <v>2709</v>
      </c>
      <c r="O514" s="19" t="s">
        <v>44</v>
      </c>
      <c r="P514" s="6">
        <v>40792.585856481484</v>
      </c>
      <c r="Q514" s="12"/>
      <c r="R514" s="17" t="s">
        <v>1562</v>
      </c>
      <c r="S514" s="11" t="s">
        <v>1563</v>
      </c>
      <c r="T514" s="12"/>
      <c r="U514" s="10" t="str">
        <f>HYPERLINK("https://pbs.twimg.com/profile_images/1006562248830144512/xFizZY0L.jpg","View")</f>
        <v>View</v>
      </c>
    </row>
    <row r="515" spans="1:21" ht="30.6">
      <c r="A515" s="6">
        <v>43440.692349537036</v>
      </c>
      <c r="B515" s="7" t="str">
        <f>HYPERLINK("https://twitter.com/LiberataPlaza","@LiberataPlaza")</f>
        <v>@LiberataPlaza</v>
      </c>
      <c r="C515" s="8" t="s">
        <v>1947</v>
      </c>
      <c r="D515" s="9" t="s">
        <v>1301</v>
      </c>
      <c r="E515" s="10" t="str">
        <f>HYPERLINK("https://twitter.com/LiberataPlaza/status/1070703660181741570","1070703660181741570")</f>
        <v>1070703660181741570</v>
      </c>
      <c r="F515" s="11" t="s">
        <v>1314</v>
      </c>
      <c r="G515" s="12"/>
      <c r="H515" s="12"/>
      <c r="I515" s="13">
        <v>0</v>
      </c>
      <c r="J515" s="13">
        <v>0</v>
      </c>
      <c r="K515" s="14" t="str">
        <f>HYPERLINK("http://twitter.com/#!/download/ipad","Twitter for iPad")</f>
        <v>Twitter for iPad</v>
      </c>
      <c r="L515" s="13">
        <v>2244</v>
      </c>
      <c r="M515" s="13">
        <v>1055</v>
      </c>
      <c r="N515" s="13">
        <v>10</v>
      </c>
      <c r="O515" s="15"/>
      <c r="P515" s="6">
        <v>40972.497696759259</v>
      </c>
      <c r="Q515" s="16" t="s">
        <v>48</v>
      </c>
      <c r="R515" s="17" t="s">
        <v>1948</v>
      </c>
      <c r="S515" s="12"/>
      <c r="T515" s="12"/>
      <c r="U515" s="10" t="str">
        <f>HYPERLINK("https://pbs.twimg.com/profile_images/549168152761102336/FRoE1aa_.jpeg","View")</f>
        <v>View</v>
      </c>
    </row>
    <row r="516" spans="1:21" ht="40.799999999999997">
      <c r="A516" s="6">
        <v>43440.68959490741</v>
      </c>
      <c r="B516" s="7" t="str">
        <f>HYPERLINK("https://twitter.com/PartidoRepEs","@PartidoRepEs")</f>
        <v>@PartidoRepEs</v>
      </c>
      <c r="C516" s="8" t="s">
        <v>1949</v>
      </c>
      <c r="D516" s="9" t="s">
        <v>1950</v>
      </c>
      <c r="E516" s="10" t="str">
        <f>HYPERLINK("https://twitter.com/PartidoRepEs/status/1070702660028956672","1070702660028956672")</f>
        <v>1070702660028956672</v>
      </c>
      <c r="F516" s="11" t="s">
        <v>1421</v>
      </c>
      <c r="G516" s="12"/>
      <c r="H516" s="12"/>
      <c r="I516" s="13">
        <v>0</v>
      </c>
      <c r="J516" s="13">
        <v>0</v>
      </c>
      <c r="K516" s="14" t="str">
        <f>HYPERLINK("http://twitter.com","Twitter Web Client")</f>
        <v>Twitter Web Client</v>
      </c>
      <c r="L516" s="13">
        <v>4366</v>
      </c>
      <c r="M516" s="13">
        <v>4993</v>
      </c>
      <c r="N516" s="13">
        <v>25</v>
      </c>
      <c r="O516" s="15"/>
      <c r="P516" s="6">
        <v>42183.720682870371</v>
      </c>
      <c r="Q516" s="12"/>
      <c r="R516" s="17" t="s">
        <v>1951</v>
      </c>
      <c r="S516" s="11" t="s">
        <v>1952</v>
      </c>
      <c r="T516" s="12"/>
      <c r="U516" s="10" t="str">
        <f>HYPERLINK("https://pbs.twimg.com/profile_images/615180335417040901/p8IX-96B.jpg","View")</f>
        <v>View</v>
      </c>
    </row>
    <row r="517" spans="1:21" ht="13.2">
      <c r="A517" s="6">
        <v>43440.688703703709</v>
      </c>
      <c r="B517" s="7" t="str">
        <f>HYPERLINK("https://twitter.com/Guerraeterna","@Guerraeterna")</f>
        <v>@Guerraeterna</v>
      </c>
      <c r="C517" s="8" t="s">
        <v>1953</v>
      </c>
      <c r="D517" s="9" t="s">
        <v>1954</v>
      </c>
      <c r="E517" s="10" t="str">
        <f>HYPERLINK("https://twitter.com/Guerraeterna/status/1070702336274776066","1070702336274776066")</f>
        <v>1070702336274776066</v>
      </c>
      <c r="F517" s="11" t="s">
        <v>1314</v>
      </c>
      <c r="G517" s="11" t="s">
        <v>1955</v>
      </c>
      <c r="H517" s="12"/>
      <c r="I517" s="13">
        <v>2</v>
      </c>
      <c r="J517" s="13">
        <v>14</v>
      </c>
      <c r="K517" s="14" t="str">
        <f>HYPERLINK("https://about.twitter.com/products/tweetdeck","TweetDeck")</f>
        <v>TweetDeck</v>
      </c>
      <c r="L517" s="13">
        <v>52306</v>
      </c>
      <c r="M517" s="13">
        <v>288</v>
      </c>
      <c r="N517" s="13">
        <v>2100</v>
      </c>
      <c r="O517" s="15"/>
      <c r="P517" s="6">
        <v>39551.057928240742</v>
      </c>
      <c r="Q517" s="16" t="s">
        <v>191</v>
      </c>
      <c r="R517" s="17" t="s">
        <v>1956</v>
      </c>
      <c r="S517" s="11" t="s">
        <v>1957</v>
      </c>
      <c r="T517" s="12"/>
      <c r="U517" s="10" t="str">
        <f>HYPERLINK("https://pbs.twimg.com/profile_images/2489605934/l16rhkss0kkwhvecjuv4.jpeg","View")</f>
        <v>View</v>
      </c>
    </row>
    <row r="518" spans="1:21" ht="30.6">
      <c r="A518" s="6">
        <v>43440.688148148147</v>
      </c>
      <c r="B518" s="7" t="str">
        <f>HYPERLINK("https://twitter.com/pepalara111","@pepalara111")</f>
        <v>@pepalara111</v>
      </c>
      <c r="C518" s="8" t="s">
        <v>1958</v>
      </c>
      <c r="D518" s="9" t="s">
        <v>1959</v>
      </c>
      <c r="E518" s="10" t="str">
        <f>HYPERLINK("https://twitter.com/pepalara111/status/1070702135019536385","1070702135019536385")</f>
        <v>1070702135019536385</v>
      </c>
      <c r="F518" s="11" t="s">
        <v>1960</v>
      </c>
      <c r="G518" s="12"/>
      <c r="H518" s="12"/>
      <c r="I518" s="13">
        <v>0</v>
      </c>
      <c r="J518" s="13">
        <v>0</v>
      </c>
      <c r="K518" s="14" t="str">
        <f t="shared" ref="K518:K519" si="101">HYPERLINK("http://twitter.com/download/android","Twitter for Android")</f>
        <v>Twitter for Android</v>
      </c>
      <c r="L518" s="13">
        <v>336</v>
      </c>
      <c r="M518" s="13">
        <v>542</v>
      </c>
      <c r="N518" s="13">
        <v>11</v>
      </c>
      <c r="O518" s="15"/>
      <c r="P518" s="6">
        <v>41103.696342592593</v>
      </c>
      <c r="Q518" s="12"/>
      <c r="R518" s="20"/>
      <c r="S518" s="12"/>
      <c r="T518" s="12"/>
      <c r="U518" s="10" t="str">
        <f>HYPERLINK("https://pbs.twimg.com/profile_images/2400959492/9uA9pFPV","View")</f>
        <v>View</v>
      </c>
    </row>
    <row r="519" spans="1:21" ht="20.399999999999999">
      <c r="A519" s="6">
        <v>43440.686747685184</v>
      </c>
      <c r="B519" s="7" t="str">
        <f>HYPERLINK("https://twitter.com/finacapacete","@finacapacete")</f>
        <v>@finacapacete</v>
      </c>
      <c r="C519" s="8" t="s">
        <v>1962</v>
      </c>
      <c r="D519" s="9" t="s">
        <v>1963</v>
      </c>
      <c r="E519" s="10" t="str">
        <f>HYPERLINK("https://twitter.com/finacapacete/status/1070701627827474432","1070701627827474432")</f>
        <v>1070701627827474432</v>
      </c>
      <c r="F519" s="11" t="s">
        <v>1964</v>
      </c>
      <c r="G519" s="12"/>
      <c r="H519" s="12"/>
      <c r="I519" s="13">
        <v>0</v>
      </c>
      <c r="J519" s="13">
        <v>0</v>
      </c>
      <c r="K519" s="14" t="str">
        <f t="shared" si="101"/>
        <v>Twitter for Android</v>
      </c>
      <c r="L519" s="13">
        <v>1397</v>
      </c>
      <c r="M519" s="13">
        <v>1553</v>
      </c>
      <c r="N519" s="13">
        <v>12</v>
      </c>
      <c r="O519" s="15"/>
      <c r="P519" s="6">
        <v>41629.02820601852</v>
      </c>
      <c r="Q519" s="16" t="s">
        <v>1965</v>
      </c>
      <c r="R519" s="17" t="s">
        <v>1966</v>
      </c>
      <c r="S519" s="12"/>
      <c r="T519" s="12"/>
      <c r="U519" s="10" t="str">
        <f>HYPERLINK("https://pbs.twimg.com/profile_images/970690987675799552/dmwu2xhE.jpg","View")</f>
        <v>View</v>
      </c>
    </row>
    <row r="520" spans="1:21" ht="20.399999999999999">
      <c r="A520" s="6">
        <v>43440.686122685191</v>
      </c>
      <c r="B520" s="7" t="str">
        <f>HYPERLINK("https://twitter.com/EPAndalucia","@EPAndalucia")</f>
        <v>@EPAndalucia</v>
      </c>
      <c r="C520" s="8" t="s">
        <v>1967</v>
      </c>
      <c r="D520" s="9" t="s">
        <v>1968</v>
      </c>
      <c r="E520" s="10" t="str">
        <f>HYPERLINK("https://twitter.com/EPAndalucia/status/1070701400856891393","1070701400856891393")</f>
        <v>1070701400856891393</v>
      </c>
      <c r="F520" s="11" t="s">
        <v>1969</v>
      </c>
      <c r="G520" s="12"/>
      <c r="H520" s="12"/>
      <c r="I520" s="13">
        <v>0</v>
      </c>
      <c r="J520" s="13">
        <v>0</v>
      </c>
      <c r="K520" s="14" t="str">
        <f>HYPERLINK("http://www.europapress.es/andalucia","Twitter editor Andalucia")</f>
        <v>Twitter editor Andalucia</v>
      </c>
      <c r="L520" s="13">
        <v>37573</v>
      </c>
      <c r="M520" s="13">
        <v>1179</v>
      </c>
      <c r="N520" s="13">
        <v>862</v>
      </c>
      <c r="O520" s="15"/>
      <c r="P520" s="6">
        <v>40540.744988425926</v>
      </c>
      <c r="Q520" s="16" t="s">
        <v>1162</v>
      </c>
      <c r="R520" s="17" t="s">
        <v>1970</v>
      </c>
      <c r="S520" s="11" t="s">
        <v>1971</v>
      </c>
      <c r="T520" s="12"/>
      <c r="U520" s="10" t="str">
        <f>HYPERLINK("https://pbs.twimg.com/profile_images/876784913466503168/u7k3N7mS.jpg","View")</f>
        <v>View</v>
      </c>
    </row>
    <row r="521" spans="1:21" ht="20.399999999999999">
      <c r="A521" s="6">
        <v>43440.674571759257</v>
      </c>
      <c r="B521" s="7" t="str">
        <f>HYPERLINK("https://twitter.com/adelacafe93","@adelacafe93")</f>
        <v>@adelacafe93</v>
      </c>
      <c r="C521" s="8" t="s">
        <v>322</v>
      </c>
      <c r="D521" s="9" t="s">
        <v>1744</v>
      </c>
      <c r="E521" s="10" t="str">
        <f>HYPERLINK("https://twitter.com/adelacafe93/status/1070697214111027202","1070697214111027202")</f>
        <v>1070697214111027202</v>
      </c>
      <c r="F521" s="11" t="s">
        <v>1972</v>
      </c>
      <c r="G521" s="12"/>
      <c r="H521" s="12"/>
      <c r="I521" s="13">
        <v>0</v>
      </c>
      <c r="J521" s="13">
        <v>0</v>
      </c>
      <c r="K521" s="14" t="str">
        <f t="shared" ref="K521:K522" si="102">HYPERLINK("https://ifttt.com","IFTTT")</f>
        <v>IFTTT</v>
      </c>
      <c r="L521" s="13">
        <v>18</v>
      </c>
      <c r="M521" s="13">
        <v>47</v>
      </c>
      <c r="N521" s="13">
        <v>0</v>
      </c>
      <c r="O521" s="15"/>
      <c r="P521" s="6">
        <v>42761.615034722221</v>
      </c>
      <c r="Q521" s="16" t="s">
        <v>326</v>
      </c>
      <c r="R521" s="17" t="s">
        <v>327</v>
      </c>
      <c r="S521" s="12"/>
      <c r="T521" s="12"/>
      <c r="U521" s="10" t="str">
        <f>HYPERLINK("https://pbs.twimg.com/profile_images/824614694078013444/fkDV_Y0Z.jpg","View")</f>
        <v>View</v>
      </c>
    </row>
    <row r="522" spans="1:21" ht="20.399999999999999">
      <c r="A522" s="6">
        <v>43440.674467592587</v>
      </c>
      <c r="B522" s="7" t="str">
        <f>HYPERLINK("https://twitter.com/titulares24hora","@titulares24hora")</f>
        <v>@titulares24hora</v>
      </c>
      <c r="C522" s="8" t="s">
        <v>352</v>
      </c>
      <c r="D522" s="9" t="s">
        <v>1744</v>
      </c>
      <c r="E522" s="10" t="str">
        <f>HYPERLINK("https://twitter.com/titulares24hora/status/1070697176840441857","1070697176840441857")</f>
        <v>1070697176840441857</v>
      </c>
      <c r="F522" s="12"/>
      <c r="G522" s="12"/>
      <c r="H522" s="12"/>
      <c r="I522" s="13">
        <v>0</v>
      </c>
      <c r="J522" s="13">
        <v>0</v>
      </c>
      <c r="K522" s="14" t="str">
        <f t="shared" si="102"/>
        <v>IFTTT</v>
      </c>
      <c r="L522" s="13">
        <v>394</v>
      </c>
      <c r="M522" s="13">
        <v>1462</v>
      </c>
      <c r="N522" s="13">
        <v>2</v>
      </c>
      <c r="O522" s="15"/>
      <c r="P522" s="6">
        <v>42508.446805555555</v>
      </c>
      <c r="Q522" s="12"/>
      <c r="R522" s="17" t="s">
        <v>355</v>
      </c>
      <c r="S522" s="12"/>
      <c r="T522" s="12"/>
      <c r="U522" s="10" t="str">
        <f>HYPERLINK("https://pbs.twimg.com/profile_images/732855169034166272/A8O2LY2J.jpg","View")</f>
        <v>View</v>
      </c>
    </row>
    <row r="523" spans="1:21" ht="51">
      <c r="A523" s="6">
        <v>43440.674432870372</v>
      </c>
      <c r="B523" s="7" t="str">
        <f>HYPERLINK("https://twitter.com/asunagullo06","@asunagullo06")</f>
        <v>@asunagullo06</v>
      </c>
      <c r="C523" s="8" t="s">
        <v>1973</v>
      </c>
      <c r="D523" s="9" t="s">
        <v>1974</v>
      </c>
      <c r="E523" s="10" t="str">
        <f>HYPERLINK("https://twitter.com/asunagullo06/status/1070697166098829312","1070697166098829312")</f>
        <v>1070697166098829312</v>
      </c>
      <c r="F523" s="11" t="s">
        <v>1389</v>
      </c>
      <c r="G523" s="12"/>
      <c r="H523" s="12"/>
      <c r="I523" s="13">
        <v>0</v>
      </c>
      <c r="J523" s="13">
        <v>2</v>
      </c>
      <c r="K523" s="14" t="str">
        <f>HYPERLINK("http://twitter.com","Twitter Web Client")</f>
        <v>Twitter Web Client</v>
      </c>
      <c r="L523" s="13">
        <v>60</v>
      </c>
      <c r="M523" s="13">
        <v>219</v>
      </c>
      <c r="N523" s="13">
        <v>0</v>
      </c>
      <c r="O523" s="15"/>
      <c r="P523" s="6">
        <v>42014.122627314813</v>
      </c>
      <c r="Q523" s="16" t="s">
        <v>30</v>
      </c>
      <c r="R523" s="20"/>
      <c r="S523" s="12"/>
      <c r="T523" s="12"/>
      <c r="U523" s="10" t="str">
        <f>HYPERLINK("https://pbs.twimg.com/profile_images/727131606553645056/KUr0Pr_3.jpg","View")</f>
        <v>View</v>
      </c>
    </row>
    <row r="524" spans="1:21" ht="30.6">
      <c r="A524" s="6">
        <v>43440.674074074079</v>
      </c>
      <c r="B524" s="7" t="str">
        <f>HYPERLINK("https://twitter.com/juanmalamet","@juanmalamet")</f>
        <v>@juanmalamet</v>
      </c>
      <c r="C524" s="8" t="s">
        <v>329</v>
      </c>
      <c r="D524" s="9" t="s">
        <v>1214</v>
      </c>
      <c r="E524" s="10" t="str">
        <f>HYPERLINK("https://twitter.com/juanmalamet/status/1070697034569658369","1070697034569658369")</f>
        <v>1070697034569658369</v>
      </c>
      <c r="F524" s="11" t="s">
        <v>1215</v>
      </c>
      <c r="G524" s="12"/>
      <c r="H524" s="12"/>
      <c r="I524" s="13">
        <v>0</v>
      </c>
      <c r="J524" s="13">
        <v>0</v>
      </c>
      <c r="K524" s="14" t="str">
        <f>HYPERLINK("http://twitter.com/download/android","Twitter for Android")</f>
        <v>Twitter for Android</v>
      </c>
      <c r="L524" s="13">
        <v>5097</v>
      </c>
      <c r="M524" s="13">
        <v>1758</v>
      </c>
      <c r="N524" s="13">
        <v>151</v>
      </c>
      <c r="O524" s="15"/>
      <c r="P524" s="6">
        <v>40417.810729166667</v>
      </c>
      <c r="Q524" s="16" t="s">
        <v>332</v>
      </c>
      <c r="R524" s="17" t="s">
        <v>333</v>
      </c>
      <c r="S524" s="12"/>
      <c r="T524" s="12"/>
      <c r="U524" s="10" t="str">
        <f>HYPERLINK("https://pbs.twimg.com/profile_images/1038932595508240384/Cdfn4Nk8.jpg","View")</f>
        <v>View</v>
      </c>
    </row>
    <row r="525" spans="1:21" ht="30.6">
      <c r="A525" s="6">
        <v>43440.673032407409</v>
      </c>
      <c r="B525" s="7" t="str">
        <f>HYPERLINK("https://twitter.com/elmundoes","@elmundoes")</f>
        <v>@elmundoes</v>
      </c>
      <c r="C525" s="8" t="s">
        <v>1975</v>
      </c>
      <c r="D525" s="9" t="s">
        <v>1694</v>
      </c>
      <c r="E525" s="10" t="str">
        <f>HYPERLINK("https://twitter.com/elmundoes/status/1070696656759373826","1070696656759373826")</f>
        <v>1070696656759373826</v>
      </c>
      <c r="F525" s="11" t="s">
        <v>1976</v>
      </c>
      <c r="G525" s="12"/>
      <c r="H525" s="12"/>
      <c r="I525" s="13">
        <v>29</v>
      </c>
      <c r="J525" s="13">
        <v>60</v>
      </c>
      <c r="K525" s="14" t="str">
        <f>HYPERLINK("http://www.socialflow.com","SocialFlow")</f>
        <v>SocialFlow</v>
      </c>
      <c r="L525" s="13">
        <v>3199074</v>
      </c>
      <c r="M525" s="13">
        <v>1355</v>
      </c>
      <c r="N525" s="13">
        <v>29607</v>
      </c>
      <c r="O525" s="19" t="s">
        <v>44</v>
      </c>
      <c r="P525" s="6">
        <v>39556.853761574072</v>
      </c>
      <c r="Q525" s="16" t="s">
        <v>48</v>
      </c>
      <c r="R525" s="17" t="s">
        <v>1977</v>
      </c>
      <c r="S525" s="11" t="s">
        <v>1978</v>
      </c>
      <c r="T525" s="12"/>
      <c r="U525" s="10" t="str">
        <f>HYPERLINK("https://pbs.twimg.com/profile_images/959947259780747265/ez18J78k.jpg","View")</f>
        <v>View</v>
      </c>
    </row>
    <row r="526" spans="1:21" ht="40.799999999999997">
      <c r="A526" s="6">
        <v>43440.671967592592</v>
      </c>
      <c r="B526" s="7" t="str">
        <f>HYPERLINK("https://twitter.com/ElMundoEspana","@ElMundoEspana")</f>
        <v>@ElMundoEspana</v>
      </c>
      <c r="C526" s="8" t="s">
        <v>360</v>
      </c>
      <c r="D526" s="9" t="s">
        <v>1744</v>
      </c>
      <c r="E526" s="10" t="str">
        <f>HYPERLINK("https://twitter.com/ElMundoEspana/status/1070696273760673792","1070696273760673792")</f>
        <v>1070696273760673792</v>
      </c>
      <c r="F526" s="11" t="s">
        <v>1215</v>
      </c>
      <c r="G526" s="12"/>
      <c r="H526" s="12"/>
      <c r="I526" s="13">
        <v>1</v>
      </c>
      <c r="J526" s="13">
        <v>0</v>
      </c>
      <c r="K526" s="14" t="str">
        <f t="shared" ref="K526:K527" si="103">HYPERLINK("http://twitter.com","Twitter Web Client")</f>
        <v>Twitter Web Client</v>
      </c>
      <c r="L526" s="13">
        <v>18045</v>
      </c>
      <c r="M526" s="13">
        <v>652</v>
      </c>
      <c r="N526" s="13">
        <v>353</v>
      </c>
      <c r="O526" s="19" t="s">
        <v>44</v>
      </c>
      <c r="P526" s="6">
        <v>42089.415439814809</v>
      </c>
      <c r="Q526" s="12"/>
      <c r="R526" s="17" t="s">
        <v>362</v>
      </c>
      <c r="S526" s="11" t="s">
        <v>363</v>
      </c>
      <c r="T526" s="12"/>
      <c r="U526" s="10" t="str">
        <f>HYPERLINK("https://pbs.twimg.com/profile_images/780431237555032064/H6v83dkC.jpg","View")</f>
        <v>View</v>
      </c>
    </row>
    <row r="527" spans="1:21" ht="71.400000000000006">
      <c r="A527" s="6">
        <v>43440.671805555554</v>
      </c>
      <c r="B527" s="7" t="str">
        <f>HYPERLINK("https://twitter.com/MACMENRI","@MACMENRI")</f>
        <v>@MACMENRI</v>
      </c>
      <c r="C527" s="8" t="s">
        <v>1979</v>
      </c>
      <c r="D527" s="9" t="s">
        <v>1980</v>
      </c>
      <c r="E527" s="10" t="str">
        <f>HYPERLINK("https://twitter.com/MACMENRI/status/1070696215191404546","1070696215191404546")</f>
        <v>1070696215191404546</v>
      </c>
      <c r="F527" s="11" t="s">
        <v>1981</v>
      </c>
      <c r="G527" s="11" t="s">
        <v>1982</v>
      </c>
      <c r="H527" s="12"/>
      <c r="I527" s="13">
        <v>0</v>
      </c>
      <c r="J527" s="13">
        <v>0</v>
      </c>
      <c r="K527" s="14" t="str">
        <f t="shared" si="103"/>
        <v>Twitter Web Client</v>
      </c>
      <c r="L527" s="13">
        <v>125</v>
      </c>
      <c r="M527" s="13">
        <v>357</v>
      </c>
      <c r="N527" s="13">
        <v>0</v>
      </c>
      <c r="O527" s="15"/>
      <c r="P527" s="6">
        <v>40474.820011574076</v>
      </c>
      <c r="Q527" s="16" t="s">
        <v>1983</v>
      </c>
      <c r="R527" s="17" t="s">
        <v>1984</v>
      </c>
      <c r="S527" s="12"/>
      <c r="T527" s="12"/>
      <c r="U527" s="10" t="str">
        <f>HYPERLINK("https://pbs.twimg.com/profile_images/811770471402315776/zS2NZa1H.jpg","View")</f>
        <v>View</v>
      </c>
    </row>
    <row r="528" spans="1:21" ht="40.799999999999997">
      <c r="A528" s="6">
        <v>43440.671655092592</v>
      </c>
      <c r="B528" s="7" t="str">
        <f>HYPERLINK("https://twitter.com/Clinica_Vega","@Clinica_Vega")</f>
        <v>@Clinica_Vega</v>
      </c>
      <c r="C528" s="8" t="s">
        <v>1985</v>
      </c>
      <c r="D528" s="9" t="s">
        <v>1986</v>
      </c>
      <c r="E528" s="10" t="str">
        <f>HYPERLINK("https://twitter.com/Clinica_Vega/status/1070696159222607872","1070696159222607872")</f>
        <v>1070696159222607872</v>
      </c>
      <c r="F528" s="11" t="s">
        <v>1751</v>
      </c>
      <c r="G528" s="12"/>
      <c r="H528" s="12"/>
      <c r="I528" s="13">
        <v>0</v>
      </c>
      <c r="J528" s="13">
        <v>0</v>
      </c>
      <c r="K528" s="14" t="str">
        <f t="shared" ref="K528:K532" si="104">HYPERLINK("https://ifttt.com","IFTTT")</f>
        <v>IFTTT</v>
      </c>
      <c r="L528" s="13">
        <v>179</v>
      </c>
      <c r="M528" s="13">
        <v>113</v>
      </c>
      <c r="N528" s="13">
        <v>16</v>
      </c>
      <c r="O528" s="15"/>
      <c r="P528" s="6">
        <v>42573.466307870374</v>
      </c>
      <c r="Q528" s="16" t="s">
        <v>30</v>
      </c>
      <c r="R528" s="17" t="s">
        <v>1987</v>
      </c>
      <c r="S528" s="11" t="s">
        <v>1988</v>
      </c>
      <c r="T528" s="12"/>
      <c r="U528" s="10" t="str">
        <f>HYPERLINK("https://pbs.twimg.com/profile_images/756418714434756608/_1yJX1x7.jpg","View")</f>
        <v>View</v>
      </c>
    </row>
    <row r="529" spans="1:21" ht="40.799999999999997">
      <c r="A529" s="6">
        <v>43440.67</v>
      </c>
      <c r="B529" s="7" t="str">
        <f>HYPERLINK("https://twitter.com/InfoBiotica","@InfoBiotica")</f>
        <v>@InfoBiotica</v>
      </c>
      <c r="C529" s="8" t="s">
        <v>1989</v>
      </c>
      <c r="D529" s="9" t="s">
        <v>1990</v>
      </c>
      <c r="E529" s="10" t="str">
        <f>HYPERLINK("https://twitter.com/InfoBiotica/status/1070695559726551040","1070695559726551040")</f>
        <v>1070695559726551040</v>
      </c>
      <c r="F529" s="11" t="s">
        <v>1991</v>
      </c>
      <c r="G529" s="12"/>
      <c r="H529" s="12"/>
      <c r="I529" s="13">
        <v>0</v>
      </c>
      <c r="J529" s="13">
        <v>0</v>
      </c>
      <c r="K529" s="14" t="str">
        <f t="shared" si="104"/>
        <v>IFTTT</v>
      </c>
      <c r="L529" s="13">
        <v>764</v>
      </c>
      <c r="M529" s="13">
        <v>751</v>
      </c>
      <c r="N529" s="13">
        <v>36</v>
      </c>
      <c r="O529" s="15"/>
      <c r="P529" s="6">
        <v>41128.572442129633</v>
      </c>
      <c r="Q529" s="16" t="s">
        <v>1992</v>
      </c>
      <c r="R529" s="17" t="s">
        <v>1993</v>
      </c>
      <c r="S529" s="11" t="s">
        <v>1994</v>
      </c>
      <c r="T529" s="12"/>
      <c r="U529" s="10" t="str">
        <f>HYPERLINK("https://pbs.twimg.com/profile_images/2608801978/7omm5sf20szyk7vqyshv.jpeg","View")</f>
        <v>View</v>
      </c>
    </row>
    <row r="530" spans="1:21" ht="20.399999999999999">
      <c r="A530" s="6">
        <v>43440.669108796297</v>
      </c>
      <c r="B530" s="7" t="str">
        <f>HYPERLINK("https://twitter.com/amplia2mente","@amplia2mente")</f>
        <v>@amplia2mente</v>
      </c>
      <c r="C530" s="8" t="s">
        <v>1995</v>
      </c>
      <c r="D530" s="9" t="s">
        <v>1087</v>
      </c>
      <c r="E530" s="10" t="str">
        <f>HYPERLINK("https://twitter.com/amplia2mente/status/1070695236005969920","1070695236005969920")</f>
        <v>1070695236005969920</v>
      </c>
      <c r="F530" s="11" t="s">
        <v>1751</v>
      </c>
      <c r="G530" s="12"/>
      <c r="H530" s="12"/>
      <c r="I530" s="13">
        <v>0</v>
      </c>
      <c r="J530" s="13">
        <v>0</v>
      </c>
      <c r="K530" s="14" t="str">
        <f t="shared" si="104"/>
        <v>IFTTT</v>
      </c>
      <c r="L530" s="13">
        <v>281</v>
      </c>
      <c r="M530" s="13">
        <v>275</v>
      </c>
      <c r="N530" s="13">
        <v>36</v>
      </c>
      <c r="O530" s="15"/>
      <c r="P530" s="6">
        <v>41541.902719907404</v>
      </c>
      <c r="Q530" s="16" t="s">
        <v>48</v>
      </c>
      <c r="R530" s="17" t="s">
        <v>1996</v>
      </c>
      <c r="S530" s="11" t="s">
        <v>1997</v>
      </c>
      <c r="T530" s="12"/>
      <c r="U530" s="10" t="str">
        <f>HYPERLINK("https://pbs.twimg.com/profile_images/378800000510878318/73e6b8c11982dd829a54da8aad69e28a.jpeg","View")</f>
        <v>View</v>
      </c>
    </row>
    <row r="531" spans="1:21" ht="40.799999999999997">
      <c r="A531" s="6">
        <v>43440.668622685189</v>
      </c>
      <c r="B531" s="7" t="str">
        <f t="shared" ref="B531:B532" si="105">HYPERLINK("https://twitter.com/Clinica_Vega","@Clinica_Vega")</f>
        <v>@Clinica_Vega</v>
      </c>
      <c r="C531" s="8" t="s">
        <v>1985</v>
      </c>
      <c r="D531" s="9" t="s">
        <v>1998</v>
      </c>
      <c r="E531" s="10" t="str">
        <f>HYPERLINK("https://twitter.com/Clinica_Vega/status/1070695059325100032","1070695059325100032")</f>
        <v>1070695059325100032</v>
      </c>
      <c r="F531" s="11" t="s">
        <v>1751</v>
      </c>
      <c r="G531" s="12"/>
      <c r="H531" s="12"/>
      <c r="I531" s="13">
        <v>0</v>
      </c>
      <c r="J531" s="13">
        <v>0</v>
      </c>
      <c r="K531" s="14" t="str">
        <f t="shared" si="104"/>
        <v>IFTTT</v>
      </c>
      <c r="L531" s="13">
        <v>179</v>
      </c>
      <c r="M531" s="13">
        <v>113</v>
      </c>
      <c r="N531" s="13">
        <v>16</v>
      </c>
      <c r="O531" s="15"/>
      <c r="P531" s="6">
        <v>42573.466307870374</v>
      </c>
      <c r="Q531" s="16" t="s">
        <v>30</v>
      </c>
      <c r="R531" s="17" t="s">
        <v>1987</v>
      </c>
      <c r="S531" s="11" t="s">
        <v>1988</v>
      </c>
      <c r="T531" s="12"/>
      <c r="U531" s="10" t="str">
        <f t="shared" ref="U531:U532" si="106">HYPERLINK("https://pbs.twimg.com/profile_images/756418714434756608/_1yJX1x7.jpg","View")</f>
        <v>View</v>
      </c>
    </row>
    <row r="532" spans="1:21" ht="40.799999999999997">
      <c r="A532" s="6">
        <v>43440.668425925927</v>
      </c>
      <c r="B532" s="7" t="str">
        <f t="shared" si="105"/>
        <v>@Clinica_Vega</v>
      </c>
      <c r="C532" s="8" t="s">
        <v>1985</v>
      </c>
      <c r="D532" s="9" t="s">
        <v>1999</v>
      </c>
      <c r="E532" s="10" t="str">
        <f>HYPERLINK("https://twitter.com/Clinica_Vega/status/1070694987636056066","1070694987636056066")</f>
        <v>1070694987636056066</v>
      </c>
      <c r="F532" s="11" t="s">
        <v>1751</v>
      </c>
      <c r="G532" s="12"/>
      <c r="H532" s="12"/>
      <c r="I532" s="13">
        <v>0</v>
      </c>
      <c r="J532" s="13">
        <v>0</v>
      </c>
      <c r="K532" s="14" t="str">
        <f t="shared" si="104"/>
        <v>IFTTT</v>
      </c>
      <c r="L532" s="13">
        <v>179</v>
      </c>
      <c r="M532" s="13">
        <v>113</v>
      </c>
      <c r="N532" s="13">
        <v>16</v>
      </c>
      <c r="O532" s="15"/>
      <c r="P532" s="6">
        <v>42573.466307870374</v>
      </c>
      <c r="Q532" s="16" t="s">
        <v>30</v>
      </c>
      <c r="R532" s="17" t="s">
        <v>1987</v>
      </c>
      <c r="S532" s="11" t="s">
        <v>1988</v>
      </c>
      <c r="T532" s="12"/>
      <c r="U532" s="10" t="str">
        <f t="shared" si="106"/>
        <v>View</v>
      </c>
    </row>
    <row r="533" spans="1:21" ht="20.399999999999999">
      <c r="A533" s="6">
        <v>43440.665138888886</v>
      </c>
      <c r="B533" s="7" t="str">
        <f>HYPERLINK("https://twitter.com/MariaJo32036997","@MariaJo32036997")</f>
        <v>@MariaJo32036997</v>
      </c>
      <c r="C533" s="8" t="s">
        <v>2000</v>
      </c>
      <c r="D533" s="9" t="s">
        <v>2001</v>
      </c>
      <c r="E533" s="10" t="str">
        <f>HYPERLINK("https://twitter.com/MariaJo32036997/status/1070693795698741248","1070693795698741248")</f>
        <v>1070693795698741248</v>
      </c>
      <c r="F533" s="11" t="s">
        <v>1389</v>
      </c>
      <c r="G533" s="12"/>
      <c r="H533" s="12"/>
      <c r="I533" s="13">
        <v>0</v>
      </c>
      <c r="J533" s="13">
        <v>0</v>
      </c>
      <c r="K533" s="14" t="str">
        <f>HYPERLINK("http://twitter.com/download/android","Twitter for Android")</f>
        <v>Twitter for Android</v>
      </c>
      <c r="L533" s="13">
        <v>57</v>
      </c>
      <c r="M533" s="13">
        <v>441</v>
      </c>
      <c r="N533" s="13">
        <v>0</v>
      </c>
      <c r="O533" s="15"/>
      <c r="P533" s="6">
        <v>43152.969189814816</v>
      </c>
      <c r="Q533" s="16" t="s">
        <v>2002</v>
      </c>
      <c r="R533" s="17" t="s">
        <v>2003</v>
      </c>
      <c r="S533" s="12"/>
      <c r="T533" s="12"/>
      <c r="U533" s="10" t="str">
        <f>HYPERLINK("https://pbs.twimg.com/profile_images/967823045770514432/YMit4x5f.jpg","View")</f>
        <v>View</v>
      </c>
    </row>
    <row r="534" spans="1:21" ht="30.6">
      <c r="A534" s="6">
        <v>43440.664733796293</v>
      </c>
      <c r="B534" s="7" t="str">
        <f>HYPERLINK("https://twitter.com/escarvasopas","@escarvasopas")</f>
        <v>@escarvasopas</v>
      </c>
      <c r="C534" s="8" t="s">
        <v>2004</v>
      </c>
      <c r="D534" s="9" t="s">
        <v>2005</v>
      </c>
      <c r="E534" s="10" t="str">
        <f>HYPERLINK("https://twitter.com/escarvasopas/status/1070693652228423681","1070693652228423681")</f>
        <v>1070693652228423681</v>
      </c>
      <c r="F534" s="12"/>
      <c r="G534" s="12"/>
      <c r="H534" s="12"/>
      <c r="I534" s="13">
        <v>181</v>
      </c>
      <c r="J534" s="13">
        <v>279</v>
      </c>
      <c r="K534" s="14" t="str">
        <f>HYPERLINK("https://mobile.twitter.com","Twitter Lite")</f>
        <v>Twitter Lite</v>
      </c>
      <c r="L534" s="13">
        <v>11780</v>
      </c>
      <c r="M534" s="13">
        <v>2173</v>
      </c>
      <c r="N534" s="13">
        <v>98</v>
      </c>
      <c r="O534" s="15"/>
      <c r="P534" s="6">
        <v>41656.892777777779</v>
      </c>
      <c r="Q534" s="12"/>
      <c r="R534" s="17" t="s">
        <v>2006</v>
      </c>
      <c r="S534" s="12"/>
      <c r="T534" s="12"/>
      <c r="U534" s="10" t="str">
        <f>HYPERLINK("https://pbs.twimg.com/profile_images/666305557603753985/TliZY4Ns.jpg","View")</f>
        <v>View</v>
      </c>
    </row>
    <row r="535" spans="1:21" ht="40.799999999999997">
      <c r="A535" s="6">
        <v>43440.660266203704</v>
      </c>
      <c r="B535" s="7" t="str">
        <f>HYPERLINK("https://twitter.com/VeoInfo_","@VeoInfo_")</f>
        <v>@VeoInfo_</v>
      </c>
      <c r="C535" s="8" t="s">
        <v>2007</v>
      </c>
      <c r="D535" s="9" t="s">
        <v>2008</v>
      </c>
      <c r="E535" s="10" t="str">
        <f>HYPERLINK("https://twitter.com/VeoInfo_/status/1070692032094629888","1070692032094629888")</f>
        <v>1070692032094629888</v>
      </c>
      <c r="F535" s="11" t="s">
        <v>2009</v>
      </c>
      <c r="G535" s="11" t="s">
        <v>2010</v>
      </c>
      <c r="H535" s="12"/>
      <c r="I535" s="13">
        <v>0</v>
      </c>
      <c r="J535" s="13">
        <v>0</v>
      </c>
      <c r="K535" s="14" t="str">
        <f>HYPERLINK("http://publicize.wp.com/","WordPress.com")</f>
        <v>WordPress.com</v>
      </c>
      <c r="L535" s="13">
        <v>1135</v>
      </c>
      <c r="M535" s="13">
        <v>1139</v>
      </c>
      <c r="N535" s="13">
        <v>37</v>
      </c>
      <c r="O535" s="15"/>
      <c r="P535" s="6">
        <v>41881.101840277777</v>
      </c>
      <c r="Q535" s="16" t="s">
        <v>2011</v>
      </c>
      <c r="R535" s="17" t="s">
        <v>2012</v>
      </c>
      <c r="S535" s="11" t="s">
        <v>2013</v>
      </c>
      <c r="T535" s="12"/>
      <c r="U535" s="10" t="str">
        <f>HYPERLINK("https://pbs.twimg.com/profile_images/601509372305485827/Val0dfGy.png","View")</f>
        <v>View</v>
      </c>
    </row>
    <row r="536" spans="1:21" ht="40.799999999999997">
      <c r="A536" s="6">
        <v>43440.659039351856</v>
      </c>
      <c r="B536" s="7" t="str">
        <f>HYPERLINK("https://twitter.com/Pepsina_Mataro","@Pepsina_Mataro")</f>
        <v>@Pepsina_Mataro</v>
      </c>
      <c r="C536" s="8" t="s">
        <v>2014</v>
      </c>
      <c r="D536" s="9" t="s">
        <v>2015</v>
      </c>
      <c r="E536" s="10" t="str">
        <f>HYPERLINK("https://twitter.com/Pepsina_Mataro/status/1070691585250222080","1070691585250222080")</f>
        <v>1070691585250222080</v>
      </c>
      <c r="F536" s="11" t="s">
        <v>1421</v>
      </c>
      <c r="G536" s="12"/>
      <c r="H536" s="12"/>
      <c r="I536" s="13">
        <v>1</v>
      </c>
      <c r="J536" s="13">
        <v>0</v>
      </c>
      <c r="K536" s="14" t="str">
        <f>HYPERLINK("http://twitter.com","Twitter Web Client")</f>
        <v>Twitter Web Client</v>
      </c>
      <c r="L536" s="13">
        <v>9556</v>
      </c>
      <c r="M536" s="13">
        <v>521</v>
      </c>
      <c r="N536" s="13">
        <v>122</v>
      </c>
      <c r="O536" s="15"/>
      <c r="P536" s="6">
        <v>40247.527789351851</v>
      </c>
      <c r="Q536" s="16" t="s">
        <v>2016</v>
      </c>
      <c r="R536" s="17" t="s">
        <v>2017</v>
      </c>
      <c r="S536" s="11" t="s">
        <v>2018</v>
      </c>
      <c r="T536" s="12"/>
      <c r="U536" s="10" t="str">
        <f>HYPERLINK("https://pbs.twimg.com/profile_images/1003730106299215873/sHTpjoMo.png","View")</f>
        <v>View</v>
      </c>
    </row>
    <row r="537" spans="1:21" ht="30.6">
      <c r="A537" s="6">
        <v>43440.658842592587</v>
      </c>
      <c r="B537" s="7" t="str">
        <f>HYPERLINK("https://twitter.com/kiddo_the","@kiddo_the")</f>
        <v>@kiddo_the</v>
      </c>
      <c r="C537" s="8" t="s">
        <v>768</v>
      </c>
      <c r="D537" s="9" t="s">
        <v>1364</v>
      </c>
      <c r="E537" s="10" t="str">
        <f>HYPERLINK("https://twitter.com/kiddo_the/status/1070691517537366017","1070691517537366017")</f>
        <v>1070691517537366017</v>
      </c>
      <c r="F537" s="11" t="s">
        <v>1365</v>
      </c>
      <c r="G537" s="12"/>
      <c r="H537" s="12"/>
      <c r="I537" s="13">
        <v>1</v>
      </c>
      <c r="J537" s="13">
        <v>0</v>
      </c>
      <c r="K537" s="14" t="str">
        <f>HYPERLINK("http://twitter.com/download/android","Twitter for Android")</f>
        <v>Twitter for Android</v>
      </c>
      <c r="L537" s="13">
        <v>1131</v>
      </c>
      <c r="M537" s="13">
        <v>1512</v>
      </c>
      <c r="N537" s="13">
        <v>13</v>
      </c>
      <c r="O537" s="15"/>
      <c r="P537" s="6">
        <v>42101.530821759261</v>
      </c>
      <c r="Q537" s="16" t="s">
        <v>30</v>
      </c>
      <c r="R537" s="17" t="s">
        <v>769</v>
      </c>
      <c r="S537" s="12"/>
      <c r="T537" s="12"/>
      <c r="U537" s="10" t="str">
        <f>HYPERLINK("https://pbs.twimg.com/profile_images/917787207792021504/oCthRWjS.jpg","View")</f>
        <v>View</v>
      </c>
    </row>
    <row r="538" spans="1:21" ht="40.799999999999997">
      <c r="A538" s="6">
        <v>43440.657164351855</v>
      </c>
      <c r="B538" s="7" t="str">
        <f>HYPERLINK("https://twitter.com/rss_noticias","@rss_noticias")</f>
        <v>@rss_noticias</v>
      </c>
      <c r="C538" s="8" t="s">
        <v>2019</v>
      </c>
      <c r="D538" s="9" t="s">
        <v>2020</v>
      </c>
      <c r="E538" s="10" t="str">
        <f>HYPERLINK("https://twitter.com/rss_noticias/status/1070690908788658176","1070690908788658176")</f>
        <v>1070690908788658176</v>
      </c>
      <c r="F538" s="11" t="s">
        <v>2021</v>
      </c>
      <c r="G538" s="12"/>
      <c r="H538" s="12"/>
      <c r="I538" s="13">
        <v>0</v>
      </c>
      <c r="J538" s="13">
        <v>0</v>
      </c>
      <c r="K538" s="14" t="str">
        <f>HYPERLINK("https://ifttt.com","IFTTT")</f>
        <v>IFTTT</v>
      </c>
      <c r="L538" s="13">
        <v>453</v>
      </c>
      <c r="M538" s="13">
        <v>1</v>
      </c>
      <c r="N538" s="13">
        <v>7</v>
      </c>
      <c r="O538" s="15"/>
      <c r="P538" s="6">
        <v>43425.916296296295</v>
      </c>
      <c r="Q538" s="16" t="s">
        <v>2022</v>
      </c>
      <c r="R538" s="17" t="s">
        <v>2023</v>
      </c>
      <c r="S538" s="12"/>
      <c r="T538" s="12"/>
      <c r="U538" s="10" t="str">
        <f>HYPERLINK("https://pbs.twimg.com/profile_images/1065358148377153542/OtJ5HtwI.jpg","View")</f>
        <v>View</v>
      </c>
    </row>
    <row r="539" spans="1:21" ht="30.6">
      <c r="A539" s="6">
        <v>43440.655046296291</v>
      </c>
      <c r="B539" s="7" t="str">
        <f>HYPERLINK("https://twitter.com/PalomaL16576791","@PalomaL16576791")</f>
        <v>@PalomaL16576791</v>
      </c>
      <c r="C539" s="8" t="s">
        <v>2024</v>
      </c>
      <c r="D539" s="9" t="s">
        <v>2025</v>
      </c>
      <c r="E539" s="10" t="str">
        <f>HYPERLINK("https://twitter.com/PalomaL16576791/status/1070690138081116160","1070690138081116160")</f>
        <v>1070690138081116160</v>
      </c>
      <c r="F539" s="11" t="s">
        <v>1344</v>
      </c>
      <c r="G539" s="12"/>
      <c r="H539" s="12"/>
      <c r="I539" s="13">
        <v>0</v>
      </c>
      <c r="J539" s="13">
        <v>0</v>
      </c>
      <c r="K539" s="14" t="str">
        <f>HYPERLINK("http://twitter.com/download/iphone","Twitter for iPhone")</f>
        <v>Twitter for iPhone</v>
      </c>
      <c r="L539" s="13">
        <v>3038</v>
      </c>
      <c r="M539" s="13">
        <v>2910</v>
      </c>
      <c r="N539" s="13">
        <v>21</v>
      </c>
      <c r="O539" s="15"/>
      <c r="P539" s="6">
        <v>42173.699282407411</v>
      </c>
      <c r="Q539" s="16" t="s">
        <v>2026</v>
      </c>
      <c r="R539" s="17" t="s">
        <v>2027</v>
      </c>
      <c r="S539" s="12"/>
      <c r="T539" s="12"/>
      <c r="U539" s="10" t="str">
        <f>HYPERLINK("https://pbs.twimg.com/profile_images/762021353289609221/CE7Bd6mq.jpg","View")</f>
        <v>View</v>
      </c>
    </row>
    <row r="540" spans="1:21" ht="30.6">
      <c r="A540" s="6">
        <v>43440.649178240739</v>
      </c>
      <c r="B540" s="7" t="str">
        <f>HYPERLINK("https://twitter.com/rne","@rne")</f>
        <v>@rne</v>
      </c>
      <c r="C540" s="8" t="s">
        <v>2028</v>
      </c>
      <c r="D540" s="9" t="s">
        <v>2029</v>
      </c>
      <c r="E540" s="10" t="str">
        <f>HYPERLINK("https://twitter.com/rne/status/1070688014949593089","1070688014949593089")</f>
        <v>1070688014949593089</v>
      </c>
      <c r="F540" s="11" t="s">
        <v>2030</v>
      </c>
      <c r="G540" s="11" t="s">
        <v>2031</v>
      </c>
      <c r="H540" s="12"/>
      <c r="I540" s="13">
        <v>0</v>
      </c>
      <c r="J540" s="13">
        <v>2</v>
      </c>
      <c r="K540" s="14" t="str">
        <f t="shared" ref="K540:K541" si="107">HYPERLINK("http://twitter.com","Twitter Web Client")</f>
        <v>Twitter Web Client</v>
      </c>
      <c r="L540" s="13">
        <v>328101</v>
      </c>
      <c r="M540" s="13">
        <v>134</v>
      </c>
      <c r="N540" s="13">
        <v>2940</v>
      </c>
      <c r="O540" s="19" t="s">
        <v>44</v>
      </c>
      <c r="P540" s="6">
        <v>39912.621435185181</v>
      </c>
      <c r="Q540" s="16" t="s">
        <v>232</v>
      </c>
      <c r="R540" s="17" t="s">
        <v>2032</v>
      </c>
      <c r="S540" s="11" t="s">
        <v>2033</v>
      </c>
      <c r="T540" s="12"/>
      <c r="U540" s="10" t="str">
        <f>HYPERLINK("https://pbs.twimg.com/profile_images/899385588868145152/0Qw3Juxf.jpg","View")</f>
        <v>View</v>
      </c>
    </row>
    <row r="541" spans="1:21" ht="40.799999999999997">
      <c r="A541" s="6">
        <v>43440.648692129631</v>
      </c>
      <c r="B541" s="7" t="str">
        <f>HYPERLINK("https://twitter.com/Sanfermin00","@Sanfermin00")</f>
        <v>@Sanfermin00</v>
      </c>
      <c r="C541" s="8" t="s">
        <v>1618</v>
      </c>
      <c r="D541" s="9" t="s">
        <v>2034</v>
      </c>
      <c r="E541" s="10" t="str">
        <f>HYPERLINK("https://twitter.com/Sanfermin00/status/1070687836628750336","1070687836628750336")</f>
        <v>1070687836628750336</v>
      </c>
      <c r="F541" s="11" t="s">
        <v>2035</v>
      </c>
      <c r="G541" s="12"/>
      <c r="H541" s="12"/>
      <c r="I541" s="13">
        <v>0</v>
      </c>
      <c r="J541" s="13">
        <v>0</v>
      </c>
      <c r="K541" s="14" t="str">
        <f t="shared" si="107"/>
        <v>Twitter Web Client</v>
      </c>
      <c r="L541" s="13">
        <v>16528</v>
      </c>
      <c r="M541" s="13">
        <v>13714</v>
      </c>
      <c r="N541" s="13">
        <v>122</v>
      </c>
      <c r="O541" s="15"/>
      <c r="P541" s="6">
        <v>42362.637083333335</v>
      </c>
      <c r="Q541" s="16" t="s">
        <v>1619</v>
      </c>
      <c r="R541" s="17" t="s">
        <v>1620</v>
      </c>
      <c r="S541" s="11" t="s">
        <v>1621</v>
      </c>
      <c r="T541" s="12"/>
      <c r="U541" s="10" t="str">
        <f>HYPERLINK("https://pbs.twimg.com/profile_images/1064102923624480768/j11dV2-u.jpg","View")</f>
        <v>View</v>
      </c>
    </row>
    <row r="542" spans="1:21" ht="40.799999999999997">
      <c r="A542" s="6">
        <v>43440.648472222223</v>
      </c>
      <c r="B542" s="7" t="str">
        <f>HYPERLINK("https://twitter.com/Moggio3","@Moggio3")</f>
        <v>@Moggio3</v>
      </c>
      <c r="C542" s="8" t="s">
        <v>2036</v>
      </c>
      <c r="D542" s="9" t="s">
        <v>2037</v>
      </c>
      <c r="E542" s="10" t="str">
        <f>HYPERLINK("https://twitter.com/Moggio3/status/1070687759252291584","1070687759252291584")</f>
        <v>1070687759252291584</v>
      </c>
      <c r="F542" s="11" t="s">
        <v>1156</v>
      </c>
      <c r="G542" s="12"/>
      <c r="H542" s="12"/>
      <c r="I542" s="13">
        <v>2</v>
      </c>
      <c r="J542" s="13">
        <v>1</v>
      </c>
      <c r="K542" s="14" t="str">
        <f>HYPERLINK("http://www.facebook.com/twitter","Facebook")</f>
        <v>Facebook</v>
      </c>
      <c r="L542" s="13">
        <v>1421</v>
      </c>
      <c r="M542" s="13">
        <v>1567</v>
      </c>
      <c r="N542" s="13">
        <v>18</v>
      </c>
      <c r="O542" s="15"/>
      <c r="P542" s="6">
        <v>40943.796493055554</v>
      </c>
      <c r="Q542" s="16" t="s">
        <v>48</v>
      </c>
      <c r="R542" s="17" t="s">
        <v>2038</v>
      </c>
      <c r="S542" s="11" t="s">
        <v>2039</v>
      </c>
      <c r="T542" s="12"/>
      <c r="U542" s="10" t="str">
        <f>HYPERLINK("https://pbs.twimg.com/profile_images/929073809772171265/y2DlCHrC.jpg","View")</f>
        <v>View</v>
      </c>
    </row>
    <row r="543" spans="1:21" ht="30.6">
      <c r="A543" s="6">
        <v>43440.646250000005</v>
      </c>
      <c r="B543" s="7" t="str">
        <f>HYPERLINK("https://twitter.com/NuevaRevoluci0n","@NuevaRevoluci0n")</f>
        <v>@NuevaRevoluci0n</v>
      </c>
      <c r="C543" s="21" t="s">
        <v>2040</v>
      </c>
      <c r="D543" s="9" t="s">
        <v>2041</v>
      </c>
      <c r="E543" s="10" t="str">
        <f>HYPERLINK("https://twitter.com/NuevaRevoluci0n/status/1070686953786564609","1070686953786564609")</f>
        <v>1070686953786564609</v>
      </c>
      <c r="F543" s="11" t="s">
        <v>2042</v>
      </c>
      <c r="G543" s="12"/>
      <c r="H543" s="12"/>
      <c r="I543" s="13">
        <v>0</v>
      </c>
      <c r="J543" s="13">
        <v>0</v>
      </c>
      <c r="K543" s="14" t="str">
        <f>HYPERLINK("https://buffer.com","Buffer")</f>
        <v>Buffer</v>
      </c>
      <c r="L543" s="13">
        <v>23241</v>
      </c>
      <c r="M543" s="13">
        <v>1894</v>
      </c>
      <c r="N543" s="13">
        <v>356</v>
      </c>
      <c r="O543" s="15"/>
      <c r="P543" s="6">
        <v>41991.023240740746</v>
      </c>
      <c r="Q543" s="16" t="s">
        <v>2043</v>
      </c>
      <c r="R543" s="17" t="s">
        <v>2044</v>
      </c>
      <c r="S543" s="11" t="s">
        <v>2045</v>
      </c>
      <c r="T543" s="12"/>
      <c r="U543" s="10" t="str">
        <f>HYPERLINK("https://pbs.twimg.com/profile_images/1012299127223439363/5rGUjnKV.jpg","View")</f>
        <v>View</v>
      </c>
    </row>
    <row r="544" spans="1:21" ht="51">
      <c r="A544" s="6">
        <v>43440.645671296297</v>
      </c>
      <c r="B544" s="7" t="str">
        <f>HYPERLINK("https://twitter.com/blythe_club","@blythe_club")</f>
        <v>@blythe_club</v>
      </c>
      <c r="C544" s="8" t="s">
        <v>2046</v>
      </c>
      <c r="D544" s="9" t="s">
        <v>2047</v>
      </c>
      <c r="E544" s="10" t="str">
        <f>HYPERLINK("https://twitter.com/blythe_club/status/1070686742498435074","1070686742498435074")</f>
        <v>1070686742498435074</v>
      </c>
      <c r="F544" s="12"/>
      <c r="G544" s="12"/>
      <c r="H544" s="12"/>
      <c r="I544" s="13">
        <v>1</v>
      </c>
      <c r="J544" s="13">
        <v>12</v>
      </c>
      <c r="K544" s="14" t="str">
        <f>HYPERLINK("http://twitter.com","Twitter Web Client")</f>
        <v>Twitter Web Client</v>
      </c>
      <c r="L544" s="13">
        <v>9446</v>
      </c>
      <c r="M544" s="13">
        <v>9520</v>
      </c>
      <c r="N544" s="13">
        <v>107</v>
      </c>
      <c r="O544" s="15"/>
      <c r="P544" s="6">
        <v>40688.763182870374</v>
      </c>
      <c r="Q544" s="16" t="s">
        <v>2048</v>
      </c>
      <c r="R544" s="17" t="s">
        <v>2049</v>
      </c>
      <c r="S544" s="12"/>
      <c r="T544" s="12"/>
      <c r="U544" s="10" t="str">
        <f>HYPERLINK("https://pbs.twimg.com/profile_images/1368631894/blythe_4.JPG","View")</f>
        <v>View</v>
      </c>
    </row>
    <row r="545" spans="1:21" ht="40.799999999999997">
      <c r="A545" s="6">
        <v>43440.644699074073</v>
      </c>
      <c r="B545" s="7" t="str">
        <f>HYPERLINK("https://twitter.com/tio_chabo","@tio_chabo")</f>
        <v>@tio_chabo</v>
      </c>
      <c r="C545" s="8" t="s">
        <v>2050</v>
      </c>
      <c r="D545" s="9" t="s">
        <v>852</v>
      </c>
      <c r="E545" s="10" t="str">
        <f>HYPERLINK("https://twitter.com/tio_chabo/status/1070686389828751361","1070686389828751361")</f>
        <v>1070686389828751361</v>
      </c>
      <c r="F545" s="11" t="s">
        <v>2051</v>
      </c>
      <c r="G545" s="12"/>
      <c r="H545" s="12"/>
      <c r="I545" s="13">
        <v>0</v>
      </c>
      <c r="J545" s="13">
        <v>0</v>
      </c>
      <c r="K545" s="14" t="str">
        <f>HYPERLINK("https://ifttt.com","IFTTT")</f>
        <v>IFTTT</v>
      </c>
      <c r="L545" s="13">
        <v>3112</v>
      </c>
      <c r="M545" s="13">
        <v>3722</v>
      </c>
      <c r="N545" s="13">
        <v>68</v>
      </c>
      <c r="O545" s="15"/>
      <c r="P545" s="6">
        <v>40964.769629629627</v>
      </c>
      <c r="Q545" s="16" t="s">
        <v>2052</v>
      </c>
      <c r="R545" s="17" t="s">
        <v>2053</v>
      </c>
      <c r="S545" s="11" t="s">
        <v>2054</v>
      </c>
      <c r="T545" s="12"/>
      <c r="U545" s="10" t="str">
        <f>HYPERLINK("https://pbs.twimg.com/profile_images/837040061870833666/XUkKbbB4.jpg","View")</f>
        <v>View</v>
      </c>
    </row>
    <row r="546" spans="1:21" ht="91.8">
      <c r="A546" s="6">
        <v>43440.644166666665</v>
      </c>
      <c r="B546" s="7" t="str">
        <f>HYPERLINK("https://twitter.com/blythe_club","@blythe_club")</f>
        <v>@blythe_club</v>
      </c>
      <c r="C546" s="8" t="s">
        <v>2046</v>
      </c>
      <c r="D546" s="9" t="s">
        <v>2055</v>
      </c>
      <c r="E546" s="10" t="str">
        <f>HYPERLINK("https://twitter.com/blythe_club/status/1070686199432523776","1070686199432523776")</f>
        <v>1070686199432523776</v>
      </c>
      <c r="F546" s="11" t="s">
        <v>2056</v>
      </c>
      <c r="G546" s="11" t="s">
        <v>2057</v>
      </c>
      <c r="H546" s="12"/>
      <c r="I546" s="13">
        <v>0</v>
      </c>
      <c r="J546" s="13">
        <v>3</v>
      </c>
      <c r="K546" s="14" t="str">
        <f>HYPERLINK("http://twitter.com","Twitter Web Client")</f>
        <v>Twitter Web Client</v>
      </c>
      <c r="L546" s="13">
        <v>9446</v>
      </c>
      <c r="M546" s="13">
        <v>9520</v>
      </c>
      <c r="N546" s="13">
        <v>107</v>
      </c>
      <c r="O546" s="15"/>
      <c r="P546" s="6">
        <v>40688.763182870374</v>
      </c>
      <c r="Q546" s="16" t="s">
        <v>2048</v>
      </c>
      <c r="R546" s="17" t="s">
        <v>2049</v>
      </c>
      <c r="S546" s="12"/>
      <c r="T546" s="12"/>
      <c r="U546" s="10" t="str">
        <f>HYPERLINK("https://pbs.twimg.com/profile_images/1368631894/blythe_4.JPG","View")</f>
        <v>View</v>
      </c>
    </row>
    <row r="547" spans="1:21" ht="40.799999999999997">
      <c r="A547" s="6">
        <v>43440.643414351856</v>
      </c>
      <c r="B547" s="7" t="str">
        <f>HYPERLINK("https://twitter.com/rss_noticias","@rss_noticias")</f>
        <v>@rss_noticias</v>
      </c>
      <c r="C547" s="8" t="s">
        <v>2019</v>
      </c>
      <c r="D547" s="9" t="s">
        <v>2058</v>
      </c>
      <c r="E547" s="10" t="str">
        <f>HYPERLINK("https://twitter.com/rss_noticias/status/1070685926777606144","1070685926777606144")</f>
        <v>1070685926777606144</v>
      </c>
      <c r="F547" s="11" t="s">
        <v>2059</v>
      </c>
      <c r="G547" s="12"/>
      <c r="H547" s="12"/>
      <c r="I547" s="13">
        <v>0</v>
      </c>
      <c r="J547" s="13">
        <v>0</v>
      </c>
      <c r="K547" s="14" t="str">
        <f>HYPERLINK("https://ifttt.com","IFTTT")</f>
        <v>IFTTT</v>
      </c>
      <c r="L547" s="13">
        <v>453</v>
      </c>
      <c r="M547" s="13">
        <v>1</v>
      </c>
      <c r="N547" s="13">
        <v>7</v>
      </c>
      <c r="O547" s="15"/>
      <c r="P547" s="6">
        <v>43425.916296296295</v>
      </c>
      <c r="Q547" s="16" t="s">
        <v>2022</v>
      </c>
      <c r="R547" s="17" t="s">
        <v>2023</v>
      </c>
      <c r="S547" s="12"/>
      <c r="T547" s="12"/>
      <c r="U547" s="10" t="str">
        <f>HYPERLINK("https://pbs.twimg.com/profile_images/1065358148377153542/OtJ5HtwI.jpg","View")</f>
        <v>View</v>
      </c>
    </row>
    <row r="548" spans="1:21" ht="40.799999999999997">
      <c r="A548" s="6">
        <v>43440.641909722224</v>
      </c>
      <c r="B548" s="7" t="str">
        <f>HYPERLINK("https://twitter.com/zapper_news","@zapper_news")</f>
        <v>@zapper_news</v>
      </c>
      <c r="C548" s="8" t="s">
        <v>26</v>
      </c>
      <c r="D548" s="9" t="s">
        <v>151</v>
      </c>
      <c r="E548" s="10" t="str">
        <f>HYPERLINK("https://twitter.com/zapper_news/status/1070685380410818560","1070685380410818560")</f>
        <v>1070685380410818560</v>
      </c>
      <c r="F548" s="11" t="s">
        <v>153</v>
      </c>
      <c r="G548" s="12"/>
      <c r="H548" s="12"/>
      <c r="I548" s="13">
        <v>0</v>
      </c>
      <c r="J548" s="13">
        <v>0</v>
      </c>
      <c r="K548" s="14" t="str">
        <f>HYPERLINK("http://www.tier.be","Stats Now")</f>
        <v>Stats Now</v>
      </c>
      <c r="L548" s="13">
        <v>285</v>
      </c>
      <c r="M548" s="13">
        <v>1845</v>
      </c>
      <c r="N548" s="13">
        <v>0</v>
      </c>
      <c r="O548" s="15"/>
      <c r="P548" s="6">
        <v>42874.842048611114</v>
      </c>
      <c r="Q548" s="16" t="s">
        <v>30</v>
      </c>
      <c r="R548" s="17" t="s">
        <v>32</v>
      </c>
      <c r="S548" s="11" t="s">
        <v>33</v>
      </c>
      <c r="T548" s="12"/>
      <c r="U548" s="10" t="str">
        <f>HYPERLINK("https://pbs.twimg.com/profile_images/1011404142210961408/ffUw_4XH.jpg","View")</f>
        <v>View</v>
      </c>
    </row>
    <row r="549" spans="1:21" ht="30.6">
      <c r="A549" s="6">
        <v>43440.641250000001</v>
      </c>
      <c r="B549" s="7" t="str">
        <f>HYPERLINK("https://twitter.com/eljukebox","@eljukebox")</f>
        <v>@eljukebox</v>
      </c>
      <c r="C549" s="8" t="s">
        <v>2060</v>
      </c>
      <c r="D549" s="9" t="s">
        <v>2061</v>
      </c>
      <c r="E549" s="10" t="str">
        <f>HYPERLINK("https://twitter.com/eljukebox/status/1070685139057790976","1070685139057790976")</f>
        <v>1070685139057790976</v>
      </c>
      <c r="F549" s="12"/>
      <c r="G549" s="12"/>
      <c r="H549" s="12"/>
      <c r="I549" s="13">
        <v>0</v>
      </c>
      <c r="J549" s="13">
        <v>1</v>
      </c>
      <c r="K549" s="14" t="str">
        <f>HYPERLINK("http://twitter.com","Twitter Web Client")</f>
        <v>Twitter Web Client</v>
      </c>
      <c r="L549" s="13">
        <v>6091</v>
      </c>
      <c r="M549" s="13">
        <v>1015</v>
      </c>
      <c r="N549" s="13">
        <v>193</v>
      </c>
      <c r="O549" s="15"/>
      <c r="P549" s="6">
        <v>40283.703136574077</v>
      </c>
      <c r="Q549" s="16" t="s">
        <v>2062</v>
      </c>
      <c r="R549" s="17" t="s">
        <v>2063</v>
      </c>
      <c r="S549" s="11" t="s">
        <v>2064</v>
      </c>
      <c r="T549" s="12"/>
      <c r="U549" s="10" t="str">
        <f>HYPERLINK("https://pbs.twimg.com/profile_images/1022116437526278148/Wgi7Nf9O.jpg","View")</f>
        <v>View</v>
      </c>
    </row>
    <row r="550" spans="1:21" ht="20.399999999999999">
      <c r="A550" s="6">
        <v>43440.640277777777</v>
      </c>
      <c r="B550" s="7" t="str">
        <f>HYPERLINK("https://twitter.com/voz_populi","@voz_populi")</f>
        <v>@voz_populi</v>
      </c>
      <c r="C550" s="8" t="s">
        <v>1559</v>
      </c>
      <c r="D550" s="9" t="s">
        <v>2065</v>
      </c>
      <c r="E550" s="10" t="str">
        <f>HYPERLINK("https://twitter.com/voz_populi/status/1070684788783235072","1070684788783235072")</f>
        <v>1070684788783235072</v>
      </c>
      <c r="F550" s="11" t="s">
        <v>2066</v>
      </c>
      <c r="G550" s="12"/>
      <c r="H550" s="12"/>
      <c r="I550" s="13">
        <v>1</v>
      </c>
      <c r="J550" s="13">
        <v>1</v>
      </c>
      <c r="K550" s="14" t="str">
        <f>HYPERLINK("https://buffer.com","Buffer")</f>
        <v>Buffer</v>
      </c>
      <c r="L550" s="13">
        <v>92928</v>
      </c>
      <c r="M550" s="13">
        <v>1396</v>
      </c>
      <c r="N550" s="13">
        <v>2709</v>
      </c>
      <c r="O550" s="19" t="s">
        <v>44</v>
      </c>
      <c r="P550" s="6">
        <v>40792.585856481484</v>
      </c>
      <c r="Q550" s="12"/>
      <c r="R550" s="17" t="s">
        <v>1562</v>
      </c>
      <c r="S550" s="11" t="s">
        <v>1563</v>
      </c>
      <c r="T550" s="12"/>
      <c r="U550" s="10" t="str">
        <f>HYPERLINK("https://pbs.twimg.com/profile_images/1006562248830144512/xFizZY0L.jpg","View")</f>
        <v>View</v>
      </c>
    </row>
    <row r="551" spans="1:21" ht="30.6">
      <c r="A551" s="6">
        <v>43440.639652777776</v>
      </c>
      <c r="B551" s="7" t="str">
        <f>HYPERLINK("https://twitter.com/Liverdades","@Liverdades")</f>
        <v>@Liverdades</v>
      </c>
      <c r="C551" s="8" t="s">
        <v>2067</v>
      </c>
      <c r="D551" s="9" t="s">
        <v>2068</v>
      </c>
      <c r="E551" s="10" t="str">
        <f>HYPERLINK("https://twitter.com/Liverdades/status/1070684563452522496","1070684563452522496")</f>
        <v>1070684563452522496</v>
      </c>
      <c r="F551" s="11" t="s">
        <v>2069</v>
      </c>
      <c r="G551" s="11" t="s">
        <v>2070</v>
      </c>
      <c r="H551" s="12"/>
      <c r="I551" s="13">
        <v>0</v>
      </c>
      <c r="J551" s="13">
        <v>0</v>
      </c>
      <c r="K551" s="14" t="str">
        <f>HYPERLINK("https://dlvrit.com/","dlvr.it")</f>
        <v>dlvr.it</v>
      </c>
      <c r="L551" s="13">
        <v>3503</v>
      </c>
      <c r="M551" s="13">
        <v>3470</v>
      </c>
      <c r="N551" s="13">
        <v>68</v>
      </c>
      <c r="O551" s="15"/>
      <c r="P551" s="6">
        <v>41743.492881944447</v>
      </c>
      <c r="Q551" s="16" t="s">
        <v>1455</v>
      </c>
      <c r="R551" s="17" t="s">
        <v>2071</v>
      </c>
      <c r="S551" s="11" t="s">
        <v>2072</v>
      </c>
      <c r="T551" s="12"/>
      <c r="U551" s="10" t="str">
        <f>HYPERLINK("https://pbs.twimg.com/profile_images/685407826445996032/eVcXWMVo.png","View")</f>
        <v>View</v>
      </c>
    </row>
    <row r="552" spans="1:21" ht="30.6">
      <c r="A552" s="6">
        <v>43440.638344907406</v>
      </c>
      <c r="B552" s="7" t="str">
        <f>HYPERLINK("https://twitter.com/bergabil94","@bergabil94")</f>
        <v>@bergabil94</v>
      </c>
      <c r="C552" s="8" t="s">
        <v>2073</v>
      </c>
      <c r="D552" s="9" t="s">
        <v>852</v>
      </c>
      <c r="E552" s="10" t="str">
        <f>HYPERLINK("https://twitter.com/bergabil94/status/1070684087512371200","1070684087512371200")</f>
        <v>1070684087512371200</v>
      </c>
      <c r="F552" s="11" t="s">
        <v>2051</v>
      </c>
      <c r="G552" s="12"/>
      <c r="H552" s="12"/>
      <c r="I552" s="13">
        <v>0</v>
      </c>
      <c r="J552" s="13">
        <v>0</v>
      </c>
      <c r="K552" s="14" t="str">
        <f t="shared" ref="K552:K553" si="108">HYPERLINK("https://ifttt.com","IFTTT")</f>
        <v>IFTTT</v>
      </c>
      <c r="L552" s="13">
        <v>63</v>
      </c>
      <c r="M552" s="13">
        <v>51</v>
      </c>
      <c r="N552" s="13">
        <v>3</v>
      </c>
      <c r="O552" s="15"/>
      <c r="P552" s="6">
        <v>42758.422662037032</v>
      </c>
      <c r="Q552" s="16" t="s">
        <v>30</v>
      </c>
      <c r="R552" s="17" t="s">
        <v>2074</v>
      </c>
      <c r="S552" s="12"/>
      <c r="T552" s="12"/>
      <c r="U552" s="10" t="str">
        <f>HYPERLINK("https://pbs.twimg.com/profile_images/823457736675459073/c35uioBB.jpg","View")</f>
        <v>View</v>
      </c>
    </row>
    <row r="553" spans="1:21" ht="51">
      <c r="A553" s="6">
        <v>43440.636331018519</v>
      </c>
      <c r="B553" s="7" t="str">
        <f>HYPERLINK("https://twitter.com/AgoraCampTuria","@AgoraCampTuria")</f>
        <v>@AgoraCampTuria</v>
      </c>
      <c r="C553" s="8" t="s">
        <v>2075</v>
      </c>
      <c r="D553" s="9" t="s">
        <v>2076</v>
      </c>
      <c r="E553" s="10" t="str">
        <f>HYPERLINK("https://twitter.com/AgoraCampTuria/status/1070683356759842816","1070683356759842816")</f>
        <v>1070683356759842816</v>
      </c>
      <c r="F553" s="11" t="s">
        <v>2077</v>
      </c>
      <c r="G553" s="11" t="s">
        <v>2078</v>
      </c>
      <c r="H553" s="12"/>
      <c r="I553" s="13">
        <v>0</v>
      </c>
      <c r="J553" s="13">
        <v>0</v>
      </c>
      <c r="K553" s="14" t="str">
        <f t="shared" si="108"/>
        <v>IFTTT</v>
      </c>
      <c r="L553" s="13">
        <v>126</v>
      </c>
      <c r="M553" s="13">
        <v>135</v>
      </c>
      <c r="N553" s="13">
        <v>3</v>
      </c>
      <c r="O553" s="15"/>
      <c r="P553" s="6">
        <v>42160.515694444446</v>
      </c>
      <c r="Q553" s="16" t="s">
        <v>2079</v>
      </c>
      <c r="R553" s="17" t="s">
        <v>2080</v>
      </c>
      <c r="S553" s="11" t="s">
        <v>2081</v>
      </c>
      <c r="T553" s="12"/>
      <c r="U553" s="10" t="str">
        <f>HYPERLINK("https://pbs.twimg.com/profile_images/606768946251984896/7gAdgGD2.jpg","View")</f>
        <v>View</v>
      </c>
    </row>
    <row r="554" spans="1:21" ht="20.399999999999999">
      <c r="A554" s="6">
        <v>43440.635578703703</v>
      </c>
      <c r="B554" s="7" t="str">
        <f>HYPERLINK("https://twitter.com/carclosa","@carclosa")</f>
        <v>@carclosa</v>
      </c>
      <c r="C554" s="8" t="s">
        <v>2083</v>
      </c>
      <c r="D554" s="9" t="s">
        <v>1472</v>
      </c>
      <c r="E554" s="10" t="str">
        <f>HYPERLINK("https://twitter.com/carclosa/status/1070683085589700610","1070683085589700610")</f>
        <v>1070683085589700610</v>
      </c>
      <c r="F554" s="11" t="s">
        <v>1176</v>
      </c>
      <c r="G554" s="12"/>
      <c r="H554" s="12"/>
      <c r="I554" s="13">
        <v>1</v>
      </c>
      <c r="J554" s="13">
        <v>0</v>
      </c>
      <c r="K554" s="14" t="str">
        <f>HYPERLINK("http://twitter.com","Twitter Web Client")</f>
        <v>Twitter Web Client</v>
      </c>
      <c r="L554" s="13">
        <v>11634</v>
      </c>
      <c r="M554" s="13">
        <v>8925</v>
      </c>
      <c r="N554" s="13">
        <v>81</v>
      </c>
      <c r="O554" s="15"/>
      <c r="P554" s="6">
        <v>40576.773854166662</v>
      </c>
      <c r="Q554" s="12"/>
      <c r="R554" s="17" t="s">
        <v>2086</v>
      </c>
      <c r="S554" s="12"/>
      <c r="T554" s="12"/>
      <c r="U554" s="10" t="str">
        <f>HYPERLINK("https://pbs.twimg.com/profile_images/802885247469813760/aXxMh85X.jpg","View")</f>
        <v>View</v>
      </c>
    </row>
    <row r="555" spans="1:21" ht="40.799999999999997">
      <c r="A555" s="6">
        <v>43440.63517361111</v>
      </c>
      <c r="B555" s="7" t="str">
        <f>HYPERLINK("https://twitter.com/aalmodobar","@aalmodobar")</f>
        <v>@aalmodobar</v>
      </c>
      <c r="C555" s="8" t="s">
        <v>2087</v>
      </c>
      <c r="D555" s="9" t="s">
        <v>2088</v>
      </c>
      <c r="E555" s="10" t="str">
        <f>HYPERLINK("https://twitter.com/aalmodobar/status/1070682937555865601","1070682937555865601")</f>
        <v>1070682937555865601</v>
      </c>
      <c r="F555" s="11" t="s">
        <v>1129</v>
      </c>
      <c r="G555" s="12"/>
      <c r="H555" s="12"/>
      <c r="I555" s="13">
        <v>1</v>
      </c>
      <c r="J555" s="13">
        <v>2</v>
      </c>
      <c r="K555" s="14" t="str">
        <f>HYPERLINK("http://twitter.com/download/iphone","Twitter for iPhone")</f>
        <v>Twitter for iPhone</v>
      </c>
      <c r="L555" s="13">
        <v>3761</v>
      </c>
      <c r="M555" s="13">
        <v>2281</v>
      </c>
      <c r="N555" s="13">
        <v>122</v>
      </c>
      <c r="O555" s="19" t="s">
        <v>44</v>
      </c>
      <c r="P555" s="6">
        <v>40343.018657407403</v>
      </c>
      <c r="Q555" s="12"/>
      <c r="R555" s="17" t="s">
        <v>2089</v>
      </c>
      <c r="S555" s="11" t="s">
        <v>2090</v>
      </c>
      <c r="T555" s="12"/>
      <c r="U555" s="10" t="str">
        <f>HYPERLINK("https://pbs.twimg.com/profile_images/906097231232684032/dgUVx_g5.jpg","View")</f>
        <v>View</v>
      </c>
    </row>
    <row r="556" spans="1:21" ht="40.799999999999997">
      <c r="A556" s="6">
        <v>43440.634942129633</v>
      </c>
      <c r="B556" s="7" t="str">
        <f>HYPERLINK("https://twitter.com/AcebronPablo","@AcebronPablo")</f>
        <v>@AcebronPablo</v>
      </c>
      <c r="C556" s="8" t="s">
        <v>2091</v>
      </c>
      <c r="D556" s="9" t="s">
        <v>2092</v>
      </c>
      <c r="E556" s="10" t="str">
        <f>HYPERLINK("https://twitter.com/AcebronPablo/status/1070682856349974529","1070682856349974529")</f>
        <v>1070682856349974529</v>
      </c>
      <c r="F556" s="12"/>
      <c r="G556" s="12"/>
      <c r="H556" s="12"/>
      <c r="I556" s="13">
        <v>0</v>
      </c>
      <c r="J556" s="13">
        <v>0</v>
      </c>
      <c r="K556" s="14" t="str">
        <f>HYPERLINK("http://twitter.com/download/android","Twitter for Android")</f>
        <v>Twitter for Android</v>
      </c>
      <c r="L556" s="13">
        <v>21</v>
      </c>
      <c r="M556" s="13">
        <v>116</v>
      </c>
      <c r="N556" s="13">
        <v>0</v>
      </c>
      <c r="O556" s="15"/>
      <c r="P556" s="6">
        <v>41780.965462962966</v>
      </c>
      <c r="Q556" s="12"/>
      <c r="R556" s="17" t="s">
        <v>2093</v>
      </c>
      <c r="S556" s="12"/>
      <c r="T556" s="12"/>
      <c r="U556" s="10" t="str">
        <f>HYPERLINK("https://pbs.twimg.com/profile_images/1059211109415170048/RLH2Mll-.jpg","View")</f>
        <v>View</v>
      </c>
    </row>
    <row r="557" spans="1:21" ht="30.6">
      <c r="A557" s="6">
        <v>43440.634097222224</v>
      </c>
      <c r="B557" s="7" t="str">
        <f>HYPERLINK("https://twitter.com/UrretaJorge","@UrretaJorge")</f>
        <v>@UrretaJorge</v>
      </c>
      <c r="C557" s="8" t="s">
        <v>2094</v>
      </c>
      <c r="D557" s="9" t="s">
        <v>2068</v>
      </c>
      <c r="E557" s="10" t="str">
        <f>HYPERLINK("https://twitter.com/UrretaJorge/status/1070682549762936832","1070682549762936832")</f>
        <v>1070682549762936832</v>
      </c>
      <c r="F557" s="11" t="s">
        <v>2095</v>
      </c>
      <c r="G557" s="11" t="s">
        <v>2096</v>
      </c>
      <c r="H557" s="12"/>
      <c r="I557" s="13">
        <v>0</v>
      </c>
      <c r="J557" s="13">
        <v>0</v>
      </c>
      <c r="K557" s="14" t="str">
        <f>HYPERLINK("https://dlvrit.com/","dlvr.it")</f>
        <v>dlvr.it</v>
      </c>
      <c r="L557" s="13">
        <v>6180</v>
      </c>
      <c r="M557" s="13">
        <v>6333</v>
      </c>
      <c r="N557" s="13">
        <v>116</v>
      </c>
      <c r="O557" s="15"/>
      <c r="P557" s="6">
        <v>41216.774305555555</v>
      </c>
      <c r="Q557" s="16" t="s">
        <v>2097</v>
      </c>
      <c r="R557" s="17" t="s">
        <v>2098</v>
      </c>
      <c r="S557" s="11" t="s">
        <v>2099</v>
      </c>
      <c r="T557" s="12"/>
      <c r="U557" s="10" t="str">
        <f>HYPERLINK("https://pbs.twimg.com/profile_images/636651341385965569/1AdINThO.jpg","View")</f>
        <v>View</v>
      </c>
    </row>
    <row r="558" spans="1:21" ht="20.399999999999999">
      <c r="A558" s="6">
        <v>43440.632789351846</v>
      </c>
      <c r="B558" s="7" t="str">
        <f>HYPERLINK("https://twitter.com/TurboNoticias","@TurboNoticias")</f>
        <v>@TurboNoticias</v>
      </c>
      <c r="C558" s="8" t="s">
        <v>2100</v>
      </c>
      <c r="D558" s="9" t="s">
        <v>852</v>
      </c>
      <c r="E558" s="10" t="str">
        <f>HYPERLINK("https://twitter.com/TurboNoticias/status/1070682072501628928","1070682072501628928")</f>
        <v>1070682072501628928</v>
      </c>
      <c r="F558" s="11" t="s">
        <v>1314</v>
      </c>
      <c r="G558" s="12"/>
      <c r="H558" s="12"/>
      <c r="I558" s="13">
        <v>0</v>
      </c>
      <c r="J558" s="13">
        <v>0</v>
      </c>
      <c r="K558" s="14" t="str">
        <f>HYPERLINK("https://ifttt.com","IFTTT")</f>
        <v>IFTTT</v>
      </c>
      <c r="L558" s="13">
        <v>965</v>
      </c>
      <c r="M558" s="13">
        <v>853</v>
      </c>
      <c r="N558" s="13">
        <v>72</v>
      </c>
      <c r="O558" s="15"/>
      <c r="P558" s="6">
        <v>41374.90861111111</v>
      </c>
      <c r="Q558" s="12"/>
      <c r="R558" s="17" t="s">
        <v>2101</v>
      </c>
      <c r="S558" s="12"/>
      <c r="T558" s="12"/>
      <c r="U558" s="10" t="str">
        <f>HYPERLINK("https://pbs.twimg.com/profile_images/3503488030/f3fa72449e81ed8eb09fe5df9d6c5afe.jpeg","View")</f>
        <v>View</v>
      </c>
    </row>
    <row r="559" spans="1:21" ht="30.6">
      <c r="A559" s="6">
        <v>43440.630023148144</v>
      </c>
      <c r="B559" s="7" t="str">
        <f>HYPERLINK("https://twitter.com/marilomallo","@marilomallo")</f>
        <v>@marilomallo</v>
      </c>
      <c r="C559" s="8" t="s">
        <v>2102</v>
      </c>
      <c r="D559" s="9" t="s">
        <v>1209</v>
      </c>
      <c r="E559" s="10" t="str">
        <f>HYPERLINK("https://twitter.com/marilomallo/status/1070681070629216257","1070681070629216257")</f>
        <v>1070681070629216257</v>
      </c>
      <c r="F559" s="11" t="s">
        <v>141</v>
      </c>
      <c r="G559" s="12"/>
      <c r="H559" s="12"/>
      <c r="I559" s="13">
        <v>0</v>
      </c>
      <c r="J559" s="13">
        <v>0</v>
      </c>
      <c r="K559" s="14" t="str">
        <f>HYPERLINK("http://twitter.com/download/android","Twitter for Android")</f>
        <v>Twitter for Android</v>
      </c>
      <c r="L559" s="13">
        <v>94</v>
      </c>
      <c r="M559" s="13">
        <v>2</v>
      </c>
      <c r="N559" s="13">
        <v>0</v>
      </c>
      <c r="O559" s="15"/>
      <c r="P559" s="6">
        <v>43122.959548611107</v>
      </c>
      <c r="Q559" s="12"/>
      <c r="R559" s="20"/>
      <c r="S559" s="12"/>
      <c r="T559" s="12"/>
      <c r="U559" s="19" t="s">
        <v>359</v>
      </c>
    </row>
    <row r="560" spans="1:21" ht="20.399999999999999">
      <c r="A560" s="6">
        <v>43440.629861111112</v>
      </c>
      <c r="B560" s="7" t="str">
        <f>HYPERLINK("https://twitter.com/eldiarioes","@eldiarioes")</f>
        <v>@eldiarioes</v>
      </c>
      <c r="C560" s="21" t="s">
        <v>964</v>
      </c>
      <c r="D560" s="9" t="s">
        <v>2103</v>
      </c>
      <c r="E560" s="10" t="str">
        <f>HYPERLINK("https://twitter.com/eldiarioes/status/1070681012835966981","1070681012835966981")</f>
        <v>1070681012835966981</v>
      </c>
      <c r="F560" s="11" t="s">
        <v>1314</v>
      </c>
      <c r="G560" s="11" t="s">
        <v>2104</v>
      </c>
      <c r="H560" s="12"/>
      <c r="I560" s="13">
        <v>8</v>
      </c>
      <c r="J560" s="13">
        <v>5</v>
      </c>
      <c r="K560" s="14" t="str">
        <f>HYPERLINK("https://about.twitter.com/products/tweetdeck","TweetDeck")</f>
        <v>TweetDeck</v>
      </c>
      <c r="L560" s="13">
        <v>940168</v>
      </c>
      <c r="M560" s="13">
        <v>456</v>
      </c>
      <c r="N560" s="13">
        <v>11261</v>
      </c>
      <c r="O560" s="19" t="s">
        <v>44</v>
      </c>
      <c r="P560" s="6">
        <v>40992.839189814811</v>
      </c>
      <c r="Q560" s="12"/>
      <c r="R560" s="17" t="s">
        <v>965</v>
      </c>
      <c r="S560" s="11" t="s">
        <v>966</v>
      </c>
      <c r="T560" s="12"/>
      <c r="U560" s="10" t="str">
        <f>HYPERLINK("https://pbs.twimg.com/profile_images/1016600645292511232/eYIkIK2s.jpg","View")</f>
        <v>View</v>
      </c>
    </row>
    <row r="561" spans="1:21" ht="30.6">
      <c r="A561" s="6">
        <v>43440.628541666665</v>
      </c>
      <c r="B561" s="7" t="str">
        <f>HYPERLINK("https://twitter.com/talkesi","@talkesi")</f>
        <v>@talkesi</v>
      </c>
      <c r="C561" s="8" t="s">
        <v>2105</v>
      </c>
      <c r="D561" s="9" t="s">
        <v>1209</v>
      </c>
      <c r="E561" s="10" t="str">
        <f>HYPERLINK("https://twitter.com/talkesi/status/1070680534240714753","1070680534240714753")</f>
        <v>1070680534240714753</v>
      </c>
      <c r="F561" s="11" t="s">
        <v>621</v>
      </c>
      <c r="G561" s="12"/>
      <c r="H561" s="12"/>
      <c r="I561" s="13">
        <v>0</v>
      </c>
      <c r="J561" s="13">
        <v>0</v>
      </c>
      <c r="K561" s="14" t="str">
        <f>HYPERLINK("http://twitter.com","Twitter Web Client")</f>
        <v>Twitter Web Client</v>
      </c>
      <c r="L561" s="13">
        <v>93</v>
      </c>
      <c r="M561" s="13">
        <v>595</v>
      </c>
      <c r="N561" s="13">
        <v>3</v>
      </c>
      <c r="O561" s="15"/>
      <c r="P561" s="6">
        <v>40883.692187499997</v>
      </c>
      <c r="Q561" s="12"/>
      <c r="R561" s="17" t="s">
        <v>2106</v>
      </c>
      <c r="S561" s="12"/>
      <c r="T561" s="12"/>
      <c r="U561" s="10" t="str">
        <f>HYPERLINK("https://pbs.twimg.com/profile_images/1692778440/a.jpg","View")</f>
        <v>View</v>
      </c>
    </row>
    <row r="562" spans="1:21" ht="40.799999999999997">
      <c r="A562" s="6">
        <v>43440.627268518518</v>
      </c>
      <c r="B562" s="7" t="str">
        <f>HYPERLINK("https://twitter.com/Raul_F_Cortes","@Raul_F_Cortes")</f>
        <v>@Raul_F_Cortes</v>
      </c>
      <c r="C562" s="8" t="s">
        <v>2107</v>
      </c>
      <c r="D562" s="9" t="s">
        <v>2108</v>
      </c>
      <c r="E562" s="10" t="str">
        <f>HYPERLINK("https://twitter.com/Raul_F_Cortes/status/1070680072430981122","1070680072430981122")</f>
        <v>1070680072430981122</v>
      </c>
      <c r="F562" s="11" t="s">
        <v>1176</v>
      </c>
      <c r="G562" s="12"/>
      <c r="H562" s="12"/>
      <c r="I562" s="13">
        <v>2</v>
      </c>
      <c r="J562" s="13">
        <v>4</v>
      </c>
      <c r="K562" s="14" t="str">
        <f>HYPERLINK("http://twitter.com/download/android","Twitter for Android")</f>
        <v>Twitter for Android</v>
      </c>
      <c r="L562" s="13">
        <v>1408</v>
      </c>
      <c r="M562" s="13">
        <v>1384</v>
      </c>
      <c r="N562" s="13">
        <v>13</v>
      </c>
      <c r="O562" s="15"/>
      <c r="P562" s="6">
        <v>40822.893136574072</v>
      </c>
      <c r="Q562" s="16" t="s">
        <v>2109</v>
      </c>
      <c r="R562" s="17" t="s">
        <v>2110</v>
      </c>
      <c r="S562" s="11" t="s">
        <v>2111</v>
      </c>
      <c r="T562" s="12"/>
      <c r="U562" s="10" t="str">
        <f>HYPERLINK("https://pbs.twimg.com/profile_images/1005194655510749184/qlgb7o8S.jpg","View")</f>
        <v>View</v>
      </c>
    </row>
    <row r="563" spans="1:21" ht="40.799999999999997">
      <c r="A563" s="6">
        <v>43440.621574074074</v>
      </c>
      <c r="B563" s="7" t="str">
        <f>HYPERLINK("https://twitter.com/lextresabogados","@lextresabogados")</f>
        <v>@lextresabogados</v>
      </c>
      <c r="C563" s="8" t="s">
        <v>1379</v>
      </c>
      <c r="D563" s="9" t="s">
        <v>2112</v>
      </c>
      <c r="E563" s="10" t="str">
        <f>HYPERLINK("https://twitter.com/lextresabogados/status/1070678010527928320","1070678010527928320")</f>
        <v>1070678010527928320</v>
      </c>
      <c r="F563" s="16" t="s">
        <v>2113</v>
      </c>
      <c r="G563" s="12"/>
      <c r="H563" s="12"/>
      <c r="I563" s="13">
        <v>0</v>
      </c>
      <c r="J563" s="13">
        <v>0</v>
      </c>
      <c r="K563" s="14" t="str">
        <f>HYPERLINK("http://35.180.36.179","botize nueva")</f>
        <v>botize nueva</v>
      </c>
      <c r="L563" s="13">
        <v>2912</v>
      </c>
      <c r="M563" s="13">
        <v>3525</v>
      </c>
      <c r="N563" s="13">
        <v>26</v>
      </c>
      <c r="O563" s="15"/>
      <c r="P563" s="6">
        <v>42880.770949074074</v>
      </c>
      <c r="Q563" s="16" t="s">
        <v>1130</v>
      </c>
      <c r="R563" s="17" t="s">
        <v>1383</v>
      </c>
      <c r="S563" s="11" t="s">
        <v>1384</v>
      </c>
      <c r="T563" s="12"/>
      <c r="U563" s="10" t="str">
        <f>HYPERLINK("https://pbs.twimg.com/profile_images/1068056978679898113/YnjKwiVy.jpg","View")</f>
        <v>View</v>
      </c>
    </row>
    <row r="564" spans="1:21" ht="40.799999999999997">
      <c r="A564" s="6">
        <v>43440.619328703702</v>
      </c>
      <c r="B564" s="7" t="str">
        <f>HYPERLINK("https://twitter.com/JLP11959","@JLP11959")</f>
        <v>@JLP11959</v>
      </c>
      <c r="C564" s="8" t="s">
        <v>2114</v>
      </c>
      <c r="D564" s="9" t="s">
        <v>2115</v>
      </c>
      <c r="E564" s="10" t="str">
        <f>HYPERLINK("https://twitter.com/JLP11959/status/1070677198288420864","1070677198288420864")</f>
        <v>1070677198288420864</v>
      </c>
      <c r="F564" s="11" t="s">
        <v>1960</v>
      </c>
      <c r="G564" s="12"/>
      <c r="H564" s="12"/>
      <c r="I564" s="13">
        <v>2</v>
      </c>
      <c r="J564" s="13">
        <v>3</v>
      </c>
      <c r="K564" s="14" t="str">
        <f>HYPERLINK("http://twitter.com/download/android","Twitter for Android")</f>
        <v>Twitter for Android</v>
      </c>
      <c r="L564" s="13">
        <v>5706</v>
      </c>
      <c r="M564" s="13">
        <v>4329</v>
      </c>
      <c r="N564" s="13">
        <v>19</v>
      </c>
      <c r="O564" s="15"/>
      <c r="P564" s="6">
        <v>42259.751666666663</v>
      </c>
      <c r="Q564" s="16" t="s">
        <v>2116</v>
      </c>
      <c r="R564" s="17" t="s">
        <v>2117</v>
      </c>
      <c r="S564" s="12"/>
      <c r="T564" s="12"/>
      <c r="U564" s="10" t="str">
        <f>HYPERLINK("https://pbs.twimg.com/profile_images/716610355330473984/VlwAwNbi.jpg","View")</f>
        <v>View</v>
      </c>
    </row>
    <row r="565" spans="1:21" ht="30.6">
      <c r="A565" s="6">
        <v>43440.61917824074</v>
      </c>
      <c r="B565" s="7" t="str">
        <f>HYPERLINK("https://twitter.com/jasusio","@jasusio")</f>
        <v>@jasusio</v>
      </c>
      <c r="C565" s="8" t="s">
        <v>986</v>
      </c>
      <c r="D565" s="9" t="s">
        <v>1155</v>
      </c>
      <c r="E565" s="10" t="str">
        <f>HYPERLINK("https://twitter.com/jasusio/status/1070677142869028864","1070677142869028864")</f>
        <v>1070677142869028864</v>
      </c>
      <c r="F565" s="11" t="s">
        <v>1156</v>
      </c>
      <c r="G565" s="12"/>
      <c r="H565" s="12"/>
      <c r="I565" s="13">
        <v>10</v>
      </c>
      <c r="J565" s="13">
        <v>3</v>
      </c>
      <c r="K565" s="14" t="str">
        <f>HYPERLINK("http://twitter.com","Twitter Web Client")</f>
        <v>Twitter Web Client</v>
      </c>
      <c r="L565" s="13">
        <v>5788</v>
      </c>
      <c r="M565" s="13">
        <v>5560</v>
      </c>
      <c r="N565" s="13">
        <v>45</v>
      </c>
      <c r="O565" s="15"/>
      <c r="P565" s="6">
        <v>40224.10428240741</v>
      </c>
      <c r="Q565" s="16" t="s">
        <v>48</v>
      </c>
      <c r="R565" s="17" t="s">
        <v>988</v>
      </c>
      <c r="S565" s="12"/>
      <c r="T565" s="12"/>
      <c r="U565" s="10" t="str">
        <f>HYPERLINK("https://pbs.twimg.com/profile_images/2273055900/xxsw04vb6r66zjxlj4o0.png","View")</f>
        <v>View</v>
      </c>
    </row>
    <row r="566" spans="1:21" ht="40.799999999999997">
      <c r="A566" s="6">
        <v>43440.618344907409</v>
      </c>
      <c r="B566" s="7" t="str">
        <f>HYPERLINK("https://twitter.com/heraldoes","@heraldoes")</f>
        <v>@heraldoes</v>
      </c>
      <c r="C566" s="8" t="s">
        <v>2118</v>
      </c>
      <c r="D566" s="9" t="s">
        <v>2119</v>
      </c>
      <c r="E566" s="10" t="str">
        <f>HYPERLINK("https://twitter.com/heraldoes/status/1070676840505896960","1070676840505896960")</f>
        <v>1070676840505896960</v>
      </c>
      <c r="F566" s="16" t="s">
        <v>2113</v>
      </c>
      <c r="G566" s="12"/>
      <c r="H566" s="12"/>
      <c r="I566" s="13">
        <v>0</v>
      </c>
      <c r="J566" s="13">
        <v>2</v>
      </c>
      <c r="K566" s="14" t="str">
        <f>HYPERLINK("http://dogtrack.es","DogTrack_Oficial")</f>
        <v>DogTrack_Oficial</v>
      </c>
      <c r="L566" s="13">
        <v>145193</v>
      </c>
      <c r="M566" s="13">
        <v>1279</v>
      </c>
      <c r="N566" s="13">
        <v>1924</v>
      </c>
      <c r="O566" s="19" t="s">
        <v>44</v>
      </c>
      <c r="P566" s="6">
        <v>39653.629861111112</v>
      </c>
      <c r="Q566" s="16" t="s">
        <v>121</v>
      </c>
      <c r="R566" s="17" t="s">
        <v>2120</v>
      </c>
      <c r="S566" s="11" t="s">
        <v>2121</v>
      </c>
      <c r="T566" s="12"/>
      <c r="U566" s="10" t="str">
        <f>HYPERLINK("https://pbs.twimg.com/profile_images/880005509096636418/DLa1QKbl.jpg","View")</f>
        <v>View</v>
      </c>
    </row>
    <row r="567" spans="1:21" ht="30.6">
      <c r="A567" s="6">
        <v>43440.618298611109</v>
      </c>
      <c r="B567" s="7" t="str">
        <f>HYPERLINK("https://twitter.com/susi_alonso","@susi_alonso")</f>
        <v>@susi_alonso</v>
      </c>
      <c r="C567" s="8" t="s">
        <v>2122</v>
      </c>
      <c r="D567" s="9" t="s">
        <v>1155</v>
      </c>
      <c r="E567" s="10" t="str">
        <f>HYPERLINK("https://twitter.com/susi_alonso/status/1070676821694406656","1070676821694406656")</f>
        <v>1070676821694406656</v>
      </c>
      <c r="F567" s="11" t="s">
        <v>1156</v>
      </c>
      <c r="G567" s="12"/>
      <c r="H567" s="12"/>
      <c r="I567" s="13">
        <v>0</v>
      </c>
      <c r="J567" s="13">
        <v>0</v>
      </c>
      <c r="K567" s="14" t="str">
        <f>HYPERLINK("http://www.facebook.com/twitter","Facebook")</f>
        <v>Facebook</v>
      </c>
      <c r="L567" s="13">
        <v>87</v>
      </c>
      <c r="M567" s="13">
        <v>305</v>
      </c>
      <c r="N567" s="13">
        <v>4</v>
      </c>
      <c r="O567" s="15"/>
      <c r="P567" s="6">
        <v>40470.474328703705</v>
      </c>
      <c r="Q567" s="16" t="s">
        <v>715</v>
      </c>
      <c r="R567" s="20"/>
      <c r="S567" s="12"/>
      <c r="T567" s="12"/>
      <c r="U567" s="10" t="str">
        <f>HYPERLINK("https://pbs.twimg.com/profile_images/655764423651557376/6qiqXTvO.jpg","View")</f>
        <v>View</v>
      </c>
    </row>
    <row r="568" spans="1:21" ht="30.6">
      <c r="A568" s="6">
        <v>43440.614583333328</v>
      </c>
      <c r="B568" s="7" t="str">
        <f>HYPERLINK("https://twitter.com/noticias_cuatro","@noticias_cuatro")</f>
        <v>@noticias_cuatro</v>
      </c>
      <c r="C568" s="8" t="s">
        <v>2123</v>
      </c>
      <c r="D568" s="9" t="s">
        <v>2124</v>
      </c>
      <c r="E568" s="10" t="str">
        <f>HYPERLINK("https://twitter.com/noticias_cuatro/status/1070675476073603072","1070675476073603072")</f>
        <v>1070675476073603072</v>
      </c>
      <c r="F568" s="11" t="s">
        <v>2125</v>
      </c>
      <c r="G568" s="11" t="s">
        <v>2126</v>
      </c>
      <c r="H568" s="12"/>
      <c r="I568" s="13">
        <v>0</v>
      </c>
      <c r="J568" s="13">
        <v>2</v>
      </c>
      <c r="K568" s="14" t="str">
        <f t="shared" ref="K568:K569" si="109">HYPERLINK("https://about.twitter.com/products/tweetdeck","TweetDeck")</f>
        <v>TweetDeck</v>
      </c>
      <c r="L568" s="13">
        <v>831787</v>
      </c>
      <c r="M568" s="13">
        <v>619</v>
      </c>
      <c r="N568" s="13">
        <v>4692</v>
      </c>
      <c r="O568" s="19" t="s">
        <v>44</v>
      </c>
      <c r="P568" s="6">
        <v>40015.475694444445</v>
      </c>
      <c r="Q568" s="16" t="s">
        <v>2127</v>
      </c>
      <c r="R568" s="17" t="s">
        <v>2128</v>
      </c>
      <c r="S568" s="11" t="s">
        <v>2129</v>
      </c>
      <c r="T568" s="12"/>
      <c r="U568" s="10" t="str">
        <f>HYPERLINK("https://pbs.twimg.com/profile_images/912643474855473153/8biMgBID.jpg","View")</f>
        <v>View</v>
      </c>
    </row>
    <row r="569" spans="1:21" ht="20.399999999999999">
      <c r="A569" s="6">
        <v>43440.612476851849</v>
      </c>
      <c r="B569" s="7" t="str">
        <f>HYPERLINK("https://twitter.com/voz_populi","@voz_populi")</f>
        <v>@voz_populi</v>
      </c>
      <c r="C569" s="8" t="s">
        <v>1559</v>
      </c>
      <c r="D569" s="9" t="s">
        <v>2065</v>
      </c>
      <c r="E569" s="10" t="str">
        <f>HYPERLINK("https://twitter.com/voz_populi/status/1070674711640707072","1070674711640707072")</f>
        <v>1070674711640707072</v>
      </c>
      <c r="F569" s="11" t="s">
        <v>2130</v>
      </c>
      <c r="G569" s="12"/>
      <c r="H569" s="12"/>
      <c r="I569" s="13">
        <v>0</v>
      </c>
      <c r="J569" s="13">
        <v>1</v>
      </c>
      <c r="K569" s="14" t="str">
        <f t="shared" si="109"/>
        <v>TweetDeck</v>
      </c>
      <c r="L569" s="13">
        <v>92928</v>
      </c>
      <c r="M569" s="13">
        <v>1396</v>
      </c>
      <c r="N569" s="13">
        <v>2709</v>
      </c>
      <c r="O569" s="19" t="s">
        <v>44</v>
      </c>
      <c r="P569" s="6">
        <v>40792.585856481484</v>
      </c>
      <c r="Q569" s="12"/>
      <c r="R569" s="17" t="s">
        <v>1562</v>
      </c>
      <c r="S569" s="11" t="s">
        <v>1563</v>
      </c>
      <c r="T569" s="12"/>
      <c r="U569" s="10" t="str">
        <f>HYPERLINK("https://pbs.twimg.com/profile_images/1006562248830144512/xFizZY0L.jpg","View")</f>
        <v>View</v>
      </c>
    </row>
    <row r="570" spans="1:21" ht="51">
      <c r="A570" s="6">
        <v>43440.602500000001</v>
      </c>
      <c r="B570" s="7" t="str">
        <f>HYPERLINK("https://twitter.com/Plaza_Bickle","@Plaza_Bickle")</f>
        <v>@Plaza_Bickle</v>
      </c>
      <c r="C570" s="8" t="s">
        <v>2131</v>
      </c>
      <c r="D570" s="9" t="s">
        <v>2132</v>
      </c>
      <c r="E570" s="10" t="str">
        <f>HYPERLINK("https://twitter.com/Plaza_Bickle/status/1070671096528166917","1070671096528166917")</f>
        <v>1070671096528166917</v>
      </c>
      <c r="F570" s="11" t="s">
        <v>2133</v>
      </c>
      <c r="G570" s="12"/>
      <c r="H570" s="12"/>
      <c r="I570" s="13">
        <v>1</v>
      </c>
      <c r="J570" s="13">
        <v>0</v>
      </c>
      <c r="K570" s="14" t="str">
        <f>HYPERLINK("http://twitter.com","Twitter Web Client")</f>
        <v>Twitter Web Client</v>
      </c>
      <c r="L570" s="13">
        <v>5560</v>
      </c>
      <c r="M570" s="13">
        <v>2628</v>
      </c>
      <c r="N570" s="13">
        <v>366</v>
      </c>
      <c r="O570" s="15"/>
      <c r="P570" s="6">
        <v>40967.804733796293</v>
      </c>
      <c r="Q570" s="12"/>
      <c r="R570" s="17" t="s">
        <v>2134</v>
      </c>
      <c r="S570" s="11" t="s">
        <v>2135</v>
      </c>
      <c r="T570" s="12"/>
      <c r="U570" s="10" t="str">
        <f>HYPERLINK("https://pbs.twimg.com/profile_images/1879890722/jose2.jpg","View")</f>
        <v>View</v>
      </c>
    </row>
    <row r="571" spans="1:21" ht="40.799999999999997">
      <c r="A571" s="6">
        <v>43440.600856481484</v>
      </c>
      <c r="B571" s="7" t="str">
        <f>HYPERLINK("https://twitter.com/victor_hurtado","@victor_hurtado")</f>
        <v>@victor_hurtado</v>
      </c>
      <c r="C571" s="8" t="s">
        <v>462</v>
      </c>
      <c r="D571" s="9" t="s">
        <v>2136</v>
      </c>
      <c r="E571" s="10" t="str">
        <f>HYPERLINK("https://twitter.com/victor_hurtado/status/1070670500483993600","1070670500483993600")</f>
        <v>1070670500483993600</v>
      </c>
      <c r="F571" s="12"/>
      <c r="G571" s="12"/>
      <c r="H571" s="12"/>
      <c r="I571" s="13">
        <v>5</v>
      </c>
      <c r="J571" s="13">
        <v>16</v>
      </c>
      <c r="K571" s="14" t="str">
        <f>HYPERLINK("http://twitter.com/#!/download/ipad","Twitter for iPad")</f>
        <v>Twitter for iPad</v>
      </c>
      <c r="L571" s="13">
        <v>3253</v>
      </c>
      <c r="M571" s="13">
        <v>4022</v>
      </c>
      <c r="N571" s="13">
        <v>63</v>
      </c>
      <c r="O571" s="15"/>
      <c r="P571" s="6">
        <v>39879.0859375</v>
      </c>
      <c r="Q571" s="16" t="s">
        <v>466</v>
      </c>
      <c r="R571" s="17" t="s">
        <v>467</v>
      </c>
      <c r="S571" s="11" t="s">
        <v>468</v>
      </c>
      <c r="T571" s="12"/>
      <c r="U571" s="10" t="str">
        <f>HYPERLINK("https://pbs.twimg.com/profile_images/1039975279660347392/bO9WsDmW.jpg","View")</f>
        <v>View</v>
      </c>
    </row>
    <row r="572" spans="1:21" ht="40.799999999999997">
      <c r="A572" s="6">
        <v>43440.599756944444</v>
      </c>
      <c r="B572" s="7" t="str">
        <f>HYPERLINK("https://twitter.com/GrouxoMarch","@GrouxoMarch")</f>
        <v>@GrouxoMarch</v>
      </c>
      <c r="C572" s="8" t="s">
        <v>2137</v>
      </c>
      <c r="D572" s="9" t="s">
        <v>2138</v>
      </c>
      <c r="E572" s="10" t="str">
        <f>HYPERLINK("https://twitter.com/GrouxoMarch/status/1070670101970591744","1070670101970591744")</f>
        <v>1070670101970591744</v>
      </c>
      <c r="F572" s="12"/>
      <c r="G572" s="12"/>
      <c r="H572" s="12"/>
      <c r="I572" s="13">
        <v>13</v>
      </c>
      <c r="J572" s="13">
        <v>10</v>
      </c>
      <c r="K572" s="14" t="str">
        <f>HYPERLINK("http://twitter.com","Twitter Web Client")</f>
        <v>Twitter Web Client</v>
      </c>
      <c r="L572" s="13">
        <v>11422</v>
      </c>
      <c r="M572" s="13">
        <v>444</v>
      </c>
      <c r="N572" s="13">
        <v>56</v>
      </c>
      <c r="O572" s="15"/>
      <c r="P572" s="6">
        <v>41198.048206018517</v>
      </c>
      <c r="Q572" s="16" t="s">
        <v>2139</v>
      </c>
      <c r="R572" s="17" t="s">
        <v>2140</v>
      </c>
      <c r="S572" s="12"/>
      <c r="T572" s="12"/>
      <c r="U572" s="10" t="str">
        <f>HYPERLINK("https://pbs.twimg.com/profile_images/1052495736049426432/QAikzrhs.jpg","View")</f>
        <v>View</v>
      </c>
    </row>
    <row r="573" spans="1:21" ht="20.399999999999999">
      <c r="A573" s="6">
        <v>43440.597500000003</v>
      </c>
      <c r="B573" s="7" t="str">
        <f>HYPERLINK("https://twitter.com/antoniofse","@antoniofse")</f>
        <v>@antoniofse</v>
      </c>
      <c r="C573" s="8" t="s">
        <v>2141</v>
      </c>
      <c r="D573" s="9" t="s">
        <v>2142</v>
      </c>
      <c r="E573" s="10" t="str">
        <f>HYPERLINK("https://twitter.com/antoniofse/status/1070669287227039744","1070669287227039744")</f>
        <v>1070669287227039744</v>
      </c>
      <c r="F573" s="12"/>
      <c r="G573" s="11" t="s">
        <v>2143</v>
      </c>
      <c r="H573" s="12"/>
      <c r="I573" s="13">
        <v>0</v>
      </c>
      <c r="J573" s="13">
        <v>0</v>
      </c>
      <c r="K573" s="14" t="str">
        <f>HYPERLINK("http://twitter.com/download/iphone","Twitter for iPhone")</f>
        <v>Twitter for iPhone</v>
      </c>
      <c r="L573" s="13">
        <v>4414</v>
      </c>
      <c r="M573" s="13">
        <v>4837</v>
      </c>
      <c r="N573" s="13">
        <v>226</v>
      </c>
      <c r="O573" s="15"/>
      <c r="P573" s="6">
        <v>39927.363356481481</v>
      </c>
      <c r="Q573" s="16" t="s">
        <v>191</v>
      </c>
      <c r="R573" s="17" t="s">
        <v>2145</v>
      </c>
      <c r="S573" s="11" t="s">
        <v>2146</v>
      </c>
      <c r="T573" s="12"/>
      <c r="U573" s="10" t="str">
        <f>HYPERLINK("https://pbs.twimg.com/profile_images/951534525204529153/KjravWTA.jpg","View")</f>
        <v>View</v>
      </c>
    </row>
    <row r="574" spans="1:21" ht="30.6">
      <c r="A574" s="6">
        <v>43440.590277777781</v>
      </c>
      <c r="B574" s="7" t="str">
        <f>HYPERLINK("https://twitter.com/informativost5","@informativost5")</f>
        <v>@informativost5</v>
      </c>
      <c r="C574" s="8" t="s">
        <v>2147</v>
      </c>
      <c r="D574" s="9" t="s">
        <v>2148</v>
      </c>
      <c r="E574" s="10" t="str">
        <f>HYPERLINK("https://twitter.com/informativost5/status/1070666667963879424","1070666667963879424")</f>
        <v>1070666667963879424</v>
      </c>
      <c r="F574" s="11" t="s">
        <v>2149</v>
      </c>
      <c r="G574" s="11" t="s">
        <v>2150</v>
      </c>
      <c r="H574" s="12"/>
      <c r="I574" s="13">
        <v>2</v>
      </c>
      <c r="J574" s="13">
        <v>7</v>
      </c>
      <c r="K574" s="14" t="str">
        <f>HYPERLINK("https://about.twitter.com/products/tweetdeck","TweetDeck")</f>
        <v>TweetDeck</v>
      </c>
      <c r="L574" s="13">
        <v>696202</v>
      </c>
      <c r="M574" s="13">
        <v>1234</v>
      </c>
      <c r="N574" s="13">
        <v>3417</v>
      </c>
      <c r="O574" s="19" t="s">
        <v>44</v>
      </c>
      <c r="P574" s="6">
        <v>39720.789826388893</v>
      </c>
      <c r="Q574" s="16" t="s">
        <v>2127</v>
      </c>
      <c r="R574" s="17" t="s">
        <v>2151</v>
      </c>
      <c r="S574" s="11" t="s">
        <v>2152</v>
      </c>
      <c r="T574" s="12"/>
      <c r="U574" s="10" t="str">
        <f>HYPERLINK("https://pbs.twimg.com/profile_images/927916068248739840/uCErGmhm.jpg","View")</f>
        <v>View</v>
      </c>
    </row>
    <row r="575" spans="1:21" ht="30.6">
      <c r="A575" s="6">
        <v>43440.586516203708</v>
      </c>
      <c r="B575" s="7" t="str">
        <f>HYPERLINK("https://twitter.com/DailyMur","@DailyMur")</f>
        <v>@DailyMur</v>
      </c>
      <c r="C575" s="8" t="s">
        <v>1014</v>
      </c>
      <c r="D575" s="9" t="s">
        <v>2153</v>
      </c>
      <c r="E575" s="10" t="str">
        <f>HYPERLINK("https://twitter.com/DailyMur/status/1070665305272344576","1070665305272344576")</f>
        <v>1070665305272344576</v>
      </c>
      <c r="F575" s="11" t="s">
        <v>2154</v>
      </c>
      <c r="G575" s="12"/>
      <c r="H575" s="12"/>
      <c r="I575" s="13">
        <v>0</v>
      </c>
      <c r="J575" s="13">
        <v>0</v>
      </c>
      <c r="K575" s="14" t="str">
        <f>HYPERLINK("http://twitter.com/download/android","Twitter for Android")</f>
        <v>Twitter for Android</v>
      </c>
      <c r="L575" s="13">
        <v>15831</v>
      </c>
      <c r="M575" s="13">
        <v>15891</v>
      </c>
      <c r="N575" s="13">
        <v>297</v>
      </c>
      <c r="O575" s="15"/>
      <c r="P575" s="6">
        <v>40936.721018518518</v>
      </c>
      <c r="Q575" s="16" t="s">
        <v>1017</v>
      </c>
      <c r="R575" s="17" t="s">
        <v>1018</v>
      </c>
      <c r="S575" s="11" t="s">
        <v>1019</v>
      </c>
      <c r="T575" s="12"/>
      <c r="U575" s="10" t="str">
        <f>HYPERLINK("https://pbs.twimg.com/profile_images/497404970980098048/xXi7OSDT.jpeg","View")</f>
        <v>View</v>
      </c>
    </row>
    <row r="576" spans="1:21" ht="40.799999999999997">
      <c r="A576" s="6">
        <v>43440.582557870366</v>
      </c>
      <c r="B576" s="7" t="str">
        <f>HYPERLINK("https://twitter.com/danivaldivia15","@danivaldivia15")</f>
        <v>@danivaldivia15</v>
      </c>
      <c r="C576" s="8" t="s">
        <v>2155</v>
      </c>
      <c r="D576" s="9" t="s">
        <v>2156</v>
      </c>
      <c r="E576" s="10" t="str">
        <f>HYPERLINK("https://twitter.com/danivaldivia15/status/1070663872661610496","1070663872661610496")</f>
        <v>1070663872661610496</v>
      </c>
      <c r="F576" s="12"/>
      <c r="G576" s="12"/>
      <c r="H576" s="12"/>
      <c r="I576" s="13">
        <v>0</v>
      </c>
      <c r="J576" s="13">
        <v>1</v>
      </c>
      <c r="K576" s="14" t="str">
        <f>HYPERLINK("http://twitter.com","Twitter Web Client")</f>
        <v>Twitter Web Client</v>
      </c>
      <c r="L576" s="13">
        <v>1438</v>
      </c>
      <c r="M576" s="13">
        <v>1325</v>
      </c>
      <c r="N576" s="13">
        <v>14</v>
      </c>
      <c r="O576" s="15"/>
      <c r="P576" s="6">
        <v>40911.966793981483</v>
      </c>
      <c r="Q576" s="16" t="s">
        <v>2157</v>
      </c>
      <c r="R576" s="17" t="s">
        <v>2158</v>
      </c>
      <c r="S576" s="11" t="s">
        <v>2159</v>
      </c>
      <c r="T576" s="12"/>
      <c r="U576" s="10" t="str">
        <f>HYPERLINK("https://pbs.twimg.com/profile_images/1043947685638811648/R2MkNKlG.jpg","View")</f>
        <v>View</v>
      </c>
    </row>
    <row r="577" spans="1:21" ht="51">
      <c r="A577" s="6">
        <v>43440.580300925925</v>
      </c>
      <c r="B577" s="7" t="str">
        <f>HYPERLINK("https://twitter.com/Republican_1978","@Republican_1978")</f>
        <v>@Republican_1978</v>
      </c>
      <c r="C577" s="8" t="s">
        <v>2160</v>
      </c>
      <c r="D577" s="9" t="s">
        <v>2161</v>
      </c>
      <c r="E577" s="10" t="str">
        <f>HYPERLINK("https://twitter.com/Republican_1978/status/1070663052503203845","1070663052503203845")</f>
        <v>1070663052503203845</v>
      </c>
      <c r="F577" s="12"/>
      <c r="G577" s="11" t="s">
        <v>2162</v>
      </c>
      <c r="H577" s="12"/>
      <c r="I577" s="13">
        <v>1</v>
      </c>
      <c r="J577" s="13">
        <v>2</v>
      </c>
      <c r="K577" s="14" t="str">
        <f>HYPERLINK("http://twitter.com/download/android","Twitter for Android")</f>
        <v>Twitter for Android</v>
      </c>
      <c r="L577" s="13">
        <v>1526</v>
      </c>
      <c r="M577" s="13">
        <v>586</v>
      </c>
      <c r="N577" s="13">
        <v>6</v>
      </c>
      <c r="O577" s="15"/>
      <c r="P577" s="6">
        <v>43055.008726851855</v>
      </c>
      <c r="Q577" s="16" t="s">
        <v>2163</v>
      </c>
      <c r="R577" s="17" t="s">
        <v>2164</v>
      </c>
      <c r="S577" s="12"/>
      <c r="T577" s="12"/>
      <c r="U577" s="10" t="str">
        <f>HYPERLINK("https://pbs.twimg.com/profile_images/972975509872304128/R5R3u1BE.jpg","View")</f>
        <v>View</v>
      </c>
    </row>
    <row r="578" spans="1:21" ht="51">
      <c r="A578" s="6">
        <v>43440.579363425924</v>
      </c>
      <c r="B578" s="7" t="str">
        <f>HYPERLINK("https://twitter.com/Xusticieru","@Xusticieru")</f>
        <v>@Xusticieru</v>
      </c>
      <c r="C578" s="8" t="s">
        <v>2166</v>
      </c>
      <c r="D578" s="9" t="s">
        <v>2167</v>
      </c>
      <c r="E578" s="10" t="str">
        <f>HYPERLINK("https://twitter.com/Xusticieru/status/1070662712500383744","1070662712500383744")</f>
        <v>1070662712500383744</v>
      </c>
      <c r="F578" s="12"/>
      <c r="G578" s="12"/>
      <c r="H578" s="12"/>
      <c r="I578" s="13">
        <v>0</v>
      </c>
      <c r="J578" s="13">
        <v>0</v>
      </c>
      <c r="K578" s="14" t="str">
        <f>HYPERLINK("http://twitter.com","Twitter Web Client")</f>
        <v>Twitter Web Client</v>
      </c>
      <c r="L578" s="13">
        <v>3619</v>
      </c>
      <c r="M578" s="13">
        <v>3320</v>
      </c>
      <c r="N578" s="13">
        <v>28</v>
      </c>
      <c r="O578" s="15"/>
      <c r="P578" s="6">
        <v>41343.738807870366</v>
      </c>
      <c r="Q578" s="16" t="s">
        <v>2168</v>
      </c>
      <c r="R578" s="17" t="s">
        <v>2169</v>
      </c>
      <c r="S578" s="12"/>
      <c r="T578" s="12"/>
      <c r="U578" s="10" t="str">
        <f>HYPERLINK("https://pbs.twimg.com/profile_images/1054286746253512705/57h4gwl2.jpg","View")</f>
        <v>View</v>
      </c>
    </row>
    <row r="579" spans="1:21" ht="51">
      <c r="A579" s="6">
        <v>43440.571770833332</v>
      </c>
      <c r="B579" s="7" t="str">
        <f>HYPERLINK("https://twitter.com/ManuelVM69","@ManuelVM69")</f>
        <v>@ManuelVM69</v>
      </c>
      <c r="C579" s="8" t="s">
        <v>2170</v>
      </c>
      <c r="D579" s="9" t="s">
        <v>2171</v>
      </c>
      <c r="E579" s="10" t="str">
        <f>HYPERLINK("https://twitter.com/ManuelVM69/status/1070659962874023937","1070659962874023937")</f>
        <v>1070659962874023937</v>
      </c>
      <c r="F579" s="11" t="s">
        <v>141</v>
      </c>
      <c r="G579" s="12"/>
      <c r="H579" s="12"/>
      <c r="I579" s="13">
        <v>1</v>
      </c>
      <c r="J579" s="13">
        <v>0</v>
      </c>
      <c r="K579" s="14" t="str">
        <f>HYPERLINK("http://twitter.com/download/android","Twitter for Android")</f>
        <v>Twitter for Android</v>
      </c>
      <c r="L579" s="13">
        <v>1405</v>
      </c>
      <c r="M579" s="13">
        <v>1135</v>
      </c>
      <c r="N579" s="13">
        <v>1</v>
      </c>
      <c r="O579" s="15"/>
      <c r="P579" s="6">
        <v>42563.812974537039</v>
      </c>
      <c r="Q579" s="16" t="s">
        <v>2172</v>
      </c>
      <c r="R579" s="17" t="s">
        <v>2173</v>
      </c>
      <c r="S579" s="12"/>
      <c r="T579" s="12"/>
      <c r="U579" s="10" t="str">
        <f>HYPERLINK("https://pbs.twimg.com/profile_images/1058785037028597760/-ROpHIoM.jpg","View")</f>
        <v>View</v>
      </c>
    </row>
    <row r="580" spans="1:21" ht="20.399999999999999">
      <c r="A580" s="6">
        <v>43440.568622685183</v>
      </c>
      <c r="B580" s="7" t="str">
        <f>HYPERLINK("https://twitter.com/diariolirico","@diariolirico")</f>
        <v>@diariolirico</v>
      </c>
      <c r="C580" s="8" t="s">
        <v>2174</v>
      </c>
      <c r="D580" s="9" t="s">
        <v>2175</v>
      </c>
      <c r="E580" s="10" t="str">
        <f>HYPERLINK("https://twitter.com/diariolirico/status/1070658822316965888","1070658822316965888")</f>
        <v>1070658822316965888</v>
      </c>
      <c r="F580" s="11" t="s">
        <v>2176</v>
      </c>
      <c r="G580" s="12"/>
      <c r="H580" s="12"/>
      <c r="I580" s="13">
        <v>0</v>
      </c>
      <c r="J580" s="13">
        <v>0</v>
      </c>
      <c r="K580" s="14" t="str">
        <f>HYPERLINK("https://www.google.com/","Google")</f>
        <v>Google</v>
      </c>
      <c r="L580" s="13">
        <v>207</v>
      </c>
      <c r="M580" s="13">
        <v>10</v>
      </c>
      <c r="N580" s="13">
        <v>8</v>
      </c>
      <c r="O580" s="15"/>
      <c r="P580" s="6">
        <v>41926.263796296298</v>
      </c>
      <c r="Q580" s="16" t="s">
        <v>191</v>
      </c>
      <c r="R580" s="17" t="s">
        <v>2177</v>
      </c>
      <c r="S580" s="11" t="s">
        <v>2178</v>
      </c>
      <c r="T580" s="12"/>
      <c r="U580" s="10" t="str">
        <f>HYPERLINK("https://pbs.twimg.com/profile_images/521879570333454338/ssFE5bOK.jpeg","View")</f>
        <v>View</v>
      </c>
    </row>
    <row r="581" spans="1:21" ht="40.799999999999997">
      <c r="A581" s="6">
        <v>43440.566053240742</v>
      </c>
      <c r="B581" s="7" t="str">
        <f>HYPERLINK("https://twitter.com/FcoCP96","@FcoCP96")</f>
        <v>@FcoCP96</v>
      </c>
      <c r="C581" s="8" t="s">
        <v>2179</v>
      </c>
      <c r="D581" s="9" t="s">
        <v>2180</v>
      </c>
      <c r="E581" s="10" t="str">
        <f>HYPERLINK("https://twitter.com/FcoCP96/status/1070657891231821829","1070657891231821829")</f>
        <v>1070657891231821829</v>
      </c>
      <c r="F581" s="11" t="s">
        <v>1389</v>
      </c>
      <c r="G581" s="12"/>
      <c r="H581" s="12"/>
      <c r="I581" s="13">
        <v>1</v>
      </c>
      <c r="J581" s="13">
        <v>7</v>
      </c>
      <c r="K581" s="14" t="str">
        <f>HYPERLINK("http://twitter.com/download/android","Twitter for Android")</f>
        <v>Twitter for Android</v>
      </c>
      <c r="L581" s="13">
        <v>1342</v>
      </c>
      <c r="M581" s="13">
        <v>1241</v>
      </c>
      <c r="N581" s="13">
        <v>18</v>
      </c>
      <c r="O581" s="15"/>
      <c r="P581" s="6">
        <v>41118.667488425926</v>
      </c>
      <c r="Q581" s="16" t="s">
        <v>48</v>
      </c>
      <c r="R581" s="17" t="s">
        <v>2181</v>
      </c>
      <c r="S581" s="11" t="s">
        <v>2182</v>
      </c>
      <c r="T581" s="12"/>
      <c r="U581" s="10" t="str">
        <f>HYPERLINK("https://pbs.twimg.com/profile_images/1028983085998792704/b7-zq1X9.jpg","View")</f>
        <v>View</v>
      </c>
    </row>
    <row r="582" spans="1:21" ht="40.799999999999997">
      <c r="A582" s="6">
        <v>43440.565972222219</v>
      </c>
      <c r="B582" s="7" t="str">
        <f>HYPERLINK("https://twitter.com/almudenanegro","@almudenanegro")</f>
        <v>@almudenanegro</v>
      </c>
      <c r="C582" s="8" t="s">
        <v>2183</v>
      </c>
      <c r="D582" s="9" t="s">
        <v>2184</v>
      </c>
      <c r="E582" s="10" t="str">
        <f>HYPERLINK("https://twitter.com/almudenanegro/status/1070657859636072448","1070657859636072448")</f>
        <v>1070657859636072448</v>
      </c>
      <c r="F582" s="11" t="s">
        <v>2185</v>
      </c>
      <c r="G582" s="11" t="s">
        <v>2186</v>
      </c>
      <c r="H582" s="12"/>
      <c r="I582" s="13">
        <v>5</v>
      </c>
      <c r="J582" s="13">
        <v>2</v>
      </c>
      <c r="K582" s="14" t="str">
        <f>HYPERLINK("http://dogtrack.es","DogTrack_Oficial")</f>
        <v>DogTrack_Oficial</v>
      </c>
      <c r="L582" s="13">
        <v>15751</v>
      </c>
      <c r="M582" s="13">
        <v>2172</v>
      </c>
      <c r="N582" s="13">
        <v>446</v>
      </c>
      <c r="O582" s="19" t="s">
        <v>44</v>
      </c>
      <c r="P582" s="6">
        <v>40124.399618055555</v>
      </c>
      <c r="Q582" s="16" t="s">
        <v>25</v>
      </c>
      <c r="R582" s="17" t="s">
        <v>2187</v>
      </c>
      <c r="S582" s="11" t="s">
        <v>2188</v>
      </c>
      <c r="T582" s="12"/>
      <c r="U582" s="10" t="str">
        <f>HYPERLINK("https://pbs.twimg.com/profile_images/1037249562916872192/qBwewM6W.jpg","View")</f>
        <v>View</v>
      </c>
    </row>
    <row r="583" spans="1:21" ht="40.799999999999997">
      <c r="A583" s="6">
        <v>43440.562581018516</v>
      </c>
      <c r="B583" s="7" t="str">
        <f>HYPERLINK("https://twitter.com/lextresabogados","@lextresabogados")</f>
        <v>@lextresabogados</v>
      </c>
      <c r="C583" s="8" t="s">
        <v>1379</v>
      </c>
      <c r="D583" s="9" t="s">
        <v>2189</v>
      </c>
      <c r="E583" s="10" t="str">
        <f>HYPERLINK("https://twitter.com/lextresabogados/status/1070656633007677446","1070656633007677446")</f>
        <v>1070656633007677446</v>
      </c>
      <c r="F583" s="11" t="s">
        <v>2190</v>
      </c>
      <c r="G583" s="11" t="s">
        <v>2191</v>
      </c>
      <c r="H583" s="12"/>
      <c r="I583" s="13">
        <v>0</v>
      </c>
      <c r="J583" s="13">
        <v>0</v>
      </c>
      <c r="K583" s="14" t="str">
        <f>HYPERLINK("http://35.180.36.179","botize nueva")</f>
        <v>botize nueva</v>
      </c>
      <c r="L583" s="13">
        <v>2912</v>
      </c>
      <c r="M583" s="13">
        <v>3525</v>
      </c>
      <c r="N583" s="13">
        <v>26</v>
      </c>
      <c r="O583" s="15"/>
      <c r="P583" s="6">
        <v>42880.770949074074</v>
      </c>
      <c r="Q583" s="16" t="s">
        <v>1130</v>
      </c>
      <c r="R583" s="17" t="s">
        <v>1383</v>
      </c>
      <c r="S583" s="11" t="s">
        <v>1384</v>
      </c>
      <c r="T583" s="12"/>
      <c r="U583" s="10" t="str">
        <f>HYPERLINK("https://pbs.twimg.com/profile_images/1068056978679898113/YnjKwiVy.jpg","View")</f>
        <v>View</v>
      </c>
    </row>
    <row r="584" spans="1:21" ht="40.799999999999997">
      <c r="A584" s="6">
        <v>43440.561458333337</v>
      </c>
      <c r="B584" s="7" t="str">
        <f>HYPERLINK("https://twitter.com/PartidoRepEs","@PartidoRepEs")</f>
        <v>@PartidoRepEs</v>
      </c>
      <c r="C584" s="8" t="s">
        <v>1949</v>
      </c>
      <c r="D584" s="9" t="s">
        <v>2192</v>
      </c>
      <c r="E584" s="10" t="str">
        <f>HYPERLINK("https://twitter.com/PartidoRepEs/status/1070656225526849537","1070656225526849537")</f>
        <v>1070656225526849537</v>
      </c>
      <c r="F584" s="11" t="s">
        <v>141</v>
      </c>
      <c r="G584" s="12"/>
      <c r="H584" s="12"/>
      <c r="I584" s="13">
        <v>61</v>
      </c>
      <c r="J584" s="13">
        <v>24</v>
      </c>
      <c r="K584" s="14" t="str">
        <f>HYPERLINK("http://twitter.com/download/android","Twitter for Android")</f>
        <v>Twitter for Android</v>
      </c>
      <c r="L584" s="13">
        <v>4366</v>
      </c>
      <c r="M584" s="13">
        <v>4993</v>
      </c>
      <c r="N584" s="13">
        <v>25</v>
      </c>
      <c r="O584" s="15"/>
      <c r="P584" s="6">
        <v>42183.720682870371</v>
      </c>
      <c r="Q584" s="12"/>
      <c r="R584" s="17" t="s">
        <v>1951</v>
      </c>
      <c r="S584" s="11" t="s">
        <v>1952</v>
      </c>
      <c r="T584" s="12"/>
      <c r="U584" s="10" t="str">
        <f>HYPERLINK("https://pbs.twimg.com/profile_images/615180335417040901/p8IX-96B.jpg","View")</f>
        <v>View</v>
      </c>
    </row>
    <row r="585" spans="1:21" ht="40.799999999999997">
      <c r="A585" s="6">
        <v>43440.561215277776</v>
      </c>
      <c r="B585" s="7" t="str">
        <f>HYPERLINK("https://twitter.com/tio_chabo","@tio_chabo")</f>
        <v>@tio_chabo</v>
      </c>
      <c r="C585" s="8" t="s">
        <v>2050</v>
      </c>
      <c r="D585" s="9" t="s">
        <v>1155</v>
      </c>
      <c r="E585" s="10" t="str">
        <f>HYPERLINK("https://twitter.com/tio_chabo/status/1070656135533903872","1070656135533903872")</f>
        <v>1070656135533903872</v>
      </c>
      <c r="F585" s="11" t="s">
        <v>1476</v>
      </c>
      <c r="G585" s="12"/>
      <c r="H585" s="12"/>
      <c r="I585" s="13">
        <v>3</v>
      </c>
      <c r="J585" s="13">
        <v>0</v>
      </c>
      <c r="K585" s="14" t="str">
        <f>HYPERLINK("https://ifttt.com","IFTTT")</f>
        <v>IFTTT</v>
      </c>
      <c r="L585" s="13">
        <v>3112</v>
      </c>
      <c r="M585" s="13">
        <v>3722</v>
      </c>
      <c r="N585" s="13">
        <v>68</v>
      </c>
      <c r="O585" s="15"/>
      <c r="P585" s="6">
        <v>40964.769629629627</v>
      </c>
      <c r="Q585" s="16" t="s">
        <v>2052</v>
      </c>
      <c r="R585" s="17" t="s">
        <v>2053</v>
      </c>
      <c r="S585" s="11" t="s">
        <v>2054</v>
      </c>
      <c r="T585" s="12"/>
      <c r="U585" s="10" t="str">
        <f>HYPERLINK("https://pbs.twimg.com/profile_images/837040061870833666/XUkKbbB4.jpg","View")</f>
        <v>View</v>
      </c>
    </row>
    <row r="586" spans="1:21" ht="30.6">
      <c r="A586" s="6">
        <v>43440.560393518521</v>
      </c>
      <c r="B586" s="7" t="str">
        <f>HYPERLINK("https://twitter.com/ontibe","@ontibe")</f>
        <v>@ontibe</v>
      </c>
      <c r="C586" s="8" t="s">
        <v>2193</v>
      </c>
      <c r="D586" s="9" t="s">
        <v>1565</v>
      </c>
      <c r="E586" s="10" t="str">
        <f>HYPERLINK("https://twitter.com/ontibe/status/1070655838568763392","1070655838568763392")</f>
        <v>1070655838568763392</v>
      </c>
      <c r="F586" s="11" t="s">
        <v>1129</v>
      </c>
      <c r="G586" s="12"/>
      <c r="H586" s="12"/>
      <c r="I586" s="13">
        <v>0</v>
      </c>
      <c r="J586" s="13">
        <v>0</v>
      </c>
      <c r="K586" s="14" t="str">
        <f>HYPERLINK("http://twitter.com","Twitter Web Client")</f>
        <v>Twitter Web Client</v>
      </c>
      <c r="L586" s="13">
        <v>462</v>
      </c>
      <c r="M586" s="13">
        <v>1373</v>
      </c>
      <c r="N586" s="13">
        <v>1</v>
      </c>
      <c r="O586" s="15"/>
      <c r="P586" s="6">
        <v>40673.627766203703</v>
      </c>
      <c r="Q586" s="16" t="s">
        <v>2194</v>
      </c>
      <c r="R586" s="17" t="s">
        <v>2195</v>
      </c>
      <c r="S586" s="12"/>
      <c r="T586" s="12"/>
      <c r="U586" s="10" t="str">
        <f>HYPERLINK("https://pbs.twimg.com/profile_images/867069058037972993/9c2-Wrp7.jpg","View")</f>
        <v>View</v>
      </c>
    </row>
    <row r="587" spans="1:21" ht="40.799999999999997">
      <c r="A587" s="6">
        <v>43440.560324074075</v>
      </c>
      <c r="B587" s="7" t="str">
        <f>HYPERLINK("https://twitter.com/Antonionphoto","@Antonionphoto")</f>
        <v>@Antonionphoto</v>
      </c>
      <c r="C587" s="8" t="s">
        <v>2196</v>
      </c>
      <c r="D587" s="9" t="s">
        <v>2197</v>
      </c>
      <c r="E587" s="10" t="str">
        <f>HYPERLINK("https://twitter.com/Antonionphoto/status/1070655812912197634","1070655812912197634")</f>
        <v>1070655812912197634</v>
      </c>
      <c r="F587" s="11" t="s">
        <v>2198</v>
      </c>
      <c r="G587" s="12"/>
      <c r="H587" s="12" t="str">
        <f>HYPERLINK("https://ctrlq.org/maps/address/#40.41711534,-3.70350478","Map")</f>
        <v>Map</v>
      </c>
      <c r="I587" s="13">
        <v>0</v>
      </c>
      <c r="J587" s="13">
        <v>2</v>
      </c>
      <c r="K587" s="14" t="str">
        <f>HYPERLINK("http://instagram.com","Instagram")</f>
        <v>Instagram</v>
      </c>
      <c r="L587" s="13">
        <v>220</v>
      </c>
      <c r="M587" s="13">
        <v>718</v>
      </c>
      <c r="N587" s="13">
        <v>16</v>
      </c>
      <c r="O587" s="15"/>
      <c r="P587" s="6">
        <v>40518.734293981484</v>
      </c>
      <c r="Q587" s="16" t="s">
        <v>191</v>
      </c>
      <c r="R587" s="17" t="s">
        <v>2199</v>
      </c>
      <c r="S587" s="11" t="s">
        <v>2200</v>
      </c>
      <c r="T587" s="12"/>
      <c r="U587" s="10" t="str">
        <f>HYPERLINK("https://pbs.twimg.com/profile_images/1184026209/_c_A.N_37658_y_.jpg","View")</f>
        <v>View</v>
      </c>
    </row>
    <row r="588" spans="1:21" ht="51">
      <c r="A588" s="6">
        <v>43440.560011574074</v>
      </c>
      <c r="B588" s="7" t="str">
        <f>HYPERLINK("https://twitter.com/ehbildu","@ehbildu")</f>
        <v>@ehbildu</v>
      </c>
      <c r="C588" s="8" t="s">
        <v>2201</v>
      </c>
      <c r="D588" s="9" t="s">
        <v>2202</v>
      </c>
      <c r="E588" s="10" t="str">
        <f>HYPERLINK("https://twitter.com/ehbildu/status/1070655699003338752","1070655699003338752")</f>
        <v>1070655699003338752</v>
      </c>
      <c r="F588" s="12"/>
      <c r="G588" s="11" t="s">
        <v>2203</v>
      </c>
      <c r="H588" s="12"/>
      <c r="I588" s="13">
        <v>51</v>
      </c>
      <c r="J588" s="13">
        <v>99</v>
      </c>
      <c r="K588" s="14" t="str">
        <f>HYPERLINK("http://twitter.com/download/android","Twitter for Android")</f>
        <v>Twitter for Android</v>
      </c>
      <c r="L588" s="13">
        <v>48284</v>
      </c>
      <c r="M588" s="13">
        <v>1194</v>
      </c>
      <c r="N588" s="13">
        <v>375</v>
      </c>
      <c r="O588" s="19" t="s">
        <v>44</v>
      </c>
      <c r="P588" s="6">
        <v>41067.660185185188</v>
      </c>
      <c r="Q588" s="16" t="s">
        <v>186</v>
      </c>
      <c r="R588" s="17" t="s">
        <v>2204</v>
      </c>
      <c r="S588" s="11" t="s">
        <v>2205</v>
      </c>
      <c r="T588" s="12"/>
      <c r="U588" s="10" t="str">
        <f>HYPERLINK("https://pbs.twimg.com/profile_images/1069877453856878592/ar4Fb4Zc.jpg","View")</f>
        <v>View</v>
      </c>
    </row>
    <row r="589" spans="1:21" ht="40.799999999999997">
      <c r="A589" s="6">
        <v>43440.559930555552</v>
      </c>
      <c r="B589" s="7" t="str">
        <f t="shared" ref="B589:B591" si="110">HYPERLINK("https://twitter.com/Antonionphoto","@Antonionphoto")</f>
        <v>@Antonionphoto</v>
      </c>
      <c r="C589" s="8" t="s">
        <v>2196</v>
      </c>
      <c r="D589" s="9" t="s">
        <v>2197</v>
      </c>
      <c r="E589" s="10" t="str">
        <f>HYPERLINK("https://twitter.com/Antonionphoto/status/1070655670112972800","1070655670112972800")</f>
        <v>1070655670112972800</v>
      </c>
      <c r="F589" s="11" t="s">
        <v>2206</v>
      </c>
      <c r="G589" s="12"/>
      <c r="H589" s="12" t="str">
        <f>HYPERLINK("https://ctrlq.org/maps/address/#40.41513941,-3.69524163","Map")</f>
        <v>Map</v>
      </c>
      <c r="I589" s="13">
        <v>0</v>
      </c>
      <c r="J589" s="13">
        <v>1</v>
      </c>
      <c r="K589" s="14" t="str">
        <f t="shared" ref="K589:K591" si="111">HYPERLINK("http://instagram.com","Instagram")</f>
        <v>Instagram</v>
      </c>
      <c r="L589" s="13">
        <v>220</v>
      </c>
      <c r="M589" s="13">
        <v>718</v>
      </c>
      <c r="N589" s="13">
        <v>16</v>
      </c>
      <c r="O589" s="15"/>
      <c r="P589" s="6">
        <v>40518.734293981484</v>
      </c>
      <c r="Q589" s="16" t="s">
        <v>191</v>
      </c>
      <c r="R589" s="17" t="s">
        <v>2199</v>
      </c>
      <c r="S589" s="11" t="s">
        <v>2200</v>
      </c>
      <c r="T589" s="12"/>
      <c r="U589" s="10" t="str">
        <f t="shared" ref="U589:U591" si="112">HYPERLINK("https://pbs.twimg.com/profile_images/1184026209/_c_A.N_37658_y_.jpg","View")</f>
        <v>View</v>
      </c>
    </row>
    <row r="590" spans="1:21" ht="40.799999999999997">
      <c r="A590" s="6">
        <v>43440.55940972222</v>
      </c>
      <c r="B590" s="7" t="str">
        <f t="shared" si="110"/>
        <v>@Antonionphoto</v>
      </c>
      <c r="C590" s="8" t="s">
        <v>2196</v>
      </c>
      <c r="D590" s="9" t="s">
        <v>2197</v>
      </c>
      <c r="E590" s="10" t="str">
        <f>HYPERLINK("https://twitter.com/Antonionphoto/status/1070655482447175680","1070655482447175680")</f>
        <v>1070655482447175680</v>
      </c>
      <c r="F590" s="11" t="s">
        <v>2207</v>
      </c>
      <c r="G590" s="12"/>
      <c r="H590" s="12" t="str">
        <f>HYPERLINK("https://ctrlq.org/maps/address/#40.41513941,-3.69524163","Map")</f>
        <v>Map</v>
      </c>
      <c r="I590" s="13">
        <v>0</v>
      </c>
      <c r="J590" s="13">
        <v>1</v>
      </c>
      <c r="K590" s="14" t="str">
        <f t="shared" si="111"/>
        <v>Instagram</v>
      </c>
      <c r="L590" s="13">
        <v>220</v>
      </c>
      <c r="M590" s="13">
        <v>718</v>
      </c>
      <c r="N590" s="13">
        <v>16</v>
      </c>
      <c r="O590" s="15"/>
      <c r="P590" s="6">
        <v>40518.734293981484</v>
      </c>
      <c r="Q590" s="16" t="s">
        <v>191</v>
      </c>
      <c r="R590" s="17" t="s">
        <v>2199</v>
      </c>
      <c r="S590" s="11" t="s">
        <v>2200</v>
      </c>
      <c r="T590" s="12"/>
      <c r="U590" s="10" t="str">
        <f t="shared" si="112"/>
        <v>View</v>
      </c>
    </row>
    <row r="591" spans="1:21" ht="40.799999999999997">
      <c r="A591" s="6">
        <v>43440.558946759258</v>
      </c>
      <c r="B591" s="7" t="str">
        <f t="shared" si="110"/>
        <v>@Antonionphoto</v>
      </c>
      <c r="C591" s="8" t="s">
        <v>2196</v>
      </c>
      <c r="D591" s="9" t="s">
        <v>2197</v>
      </c>
      <c r="E591" s="10" t="str">
        <f>HYPERLINK("https://twitter.com/Antonionphoto/status/1070655316189212672","1070655316189212672")</f>
        <v>1070655316189212672</v>
      </c>
      <c r="F591" s="11" t="s">
        <v>2208</v>
      </c>
      <c r="G591" s="12"/>
      <c r="H591" s="12" t="str">
        <f>HYPERLINK("https://ctrlq.org/maps/address/#40.41901,-3.69218","Map")</f>
        <v>Map</v>
      </c>
      <c r="I591" s="13">
        <v>0</v>
      </c>
      <c r="J591" s="13">
        <v>1</v>
      </c>
      <c r="K591" s="14" t="str">
        <f t="shared" si="111"/>
        <v>Instagram</v>
      </c>
      <c r="L591" s="13">
        <v>220</v>
      </c>
      <c r="M591" s="13">
        <v>718</v>
      </c>
      <c r="N591" s="13">
        <v>16</v>
      </c>
      <c r="O591" s="15"/>
      <c r="P591" s="6">
        <v>40518.734293981484</v>
      </c>
      <c r="Q591" s="16" t="s">
        <v>191</v>
      </c>
      <c r="R591" s="17" t="s">
        <v>2199</v>
      </c>
      <c r="S591" s="11" t="s">
        <v>2200</v>
      </c>
      <c r="T591" s="12"/>
      <c r="U591" s="10" t="str">
        <f t="shared" si="112"/>
        <v>View</v>
      </c>
    </row>
    <row r="592" spans="1:21" ht="30.6">
      <c r="A592" s="6">
        <v>43440.552847222221</v>
      </c>
      <c r="B592" s="7" t="str">
        <f>HYPERLINK("https://twitter.com/Liverdades","@Liverdades")</f>
        <v>@Liverdades</v>
      </c>
      <c r="C592" s="8" t="s">
        <v>2067</v>
      </c>
      <c r="D592" s="9" t="s">
        <v>1209</v>
      </c>
      <c r="E592" s="10" t="str">
        <f>HYPERLINK("https://twitter.com/Liverdades/status/1070653102653493250","1070653102653493250")</f>
        <v>1070653102653493250</v>
      </c>
      <c r="F592" s="11" t="s">
        <v>2210</v>
      </c>
      <c r="G592" s="11" t="s">
        <v>2211</v>
      </c>
      <c r="H592" s="12"/>
      <c r="I592" s="13">
        <v>3</v>
      </c>
      <c r="J592" s="13">
        <v>0</v>
      </c>
      <c r="K592" s="14" t="str">
        <f>HYPERLINK("https://dlvrit.com/","dlvr.it")</f>
        <v>dlvr.it</v>
      </c>
      <c r="L592" s="13">
        <v>3503</v>
      </c>
      <c r="M592" s="13">
        <v>3470</v>
      </c>
      <c r="N592" s="13">
        <v>68</v>
      </c>
      <c r="O592" s="15"/>
      <c r="P592" s="6">
        <v>41743.492881944447</v>
      </c>
      <c r="Q592" s="16" t="s">
        <v>1455</v>
      </c>
      <c r="R592" s="17" t="s">
        <v>2071</v>
      </c>
      <c r="S592" s="11" t="s">
        <v>2072</v>
      </c>
      <c r="T592" s="12"/>
      <c r="U592" s="10" t="str">
        <f>HYPERLINK("https://pbs.twimg.com/profile_images/685407826445996032/eVcXWMVo.png","View")</f>
        <v>View</v>
      </c>
    </row>
    <row r="593" spans="1:21" ht="30.6">
      <c r="A593" s="6">
        <v>43440.548263888893</v>
      </c>
      <c r="B593" s="7" t="str">
        <f>HYPERLINK("https://twitter.com/megafonoccoo","@megafonoccoo")</f>
        <v>@megafonoccoo</v>
      </c>
      <c r="C593" s="8" t="s">
        <v>2212</v>
      </c>
      <c r="D593" s="9" t="s">
        <v>2213</v>
      </c>
      <c r="E593" s="10" t="str">
        <f>HYPERLINK("https://twitter.com/megafonoccoo/status/1070651444234194945","1070651444234194945")</f>
        <v>1070651444234194945</v>
      </c>
      <c r="F593" s="11" t="s">
        <v>1344</v>
      </c>
      <c r="G593" s="12"/>
      <c r="H593" s="12"/>
      <c r="I593" s="13">
        <v>1</v>
      </c>
      <c r="J593" s="13">
        <v>0</v>
      </c>
      <c r="K593" s="14" t="str">
        <f>HYPERLINK("http://twitter.com/download/android","Twitter for Android")</f>
        <v>Twitter for Android</v>
      </c>
      <c r="L593" s="13">
        <v>1351</v>
      </c>
      <c r="M593" s="13">
        <v>1532</v>
      </c>
      <c r="N593" s="13">
        <v>36</v>
      </c>
      <c r="O593" s="15"/>
      <c r="P593" s="6">
        <v>41064.937581018516</v>
      </c>
      <c r="Q593" s="16" t="s">
        <v>2214</v>
      </c>
      <c r="R593" s="17" t="s">
        <v>2215</v>
      </c>
      <c r="S593" s="12"/>
      <c r="T593" s="12"/>
      <c r="U593" s="10" t="str">
        <f>HYPERLINK("https://pbs.twimg.com/profile_images/2279929324/7cpganh95ds3ssnmh9t8.jpeg","View")</f>
        <v>View</v>
      </c>
    </row>
    <row r="594" spans="1:21" ht="40.799999999999997">
      <c r="A594" s="6">
        <v>43440.547129629631</v>
      </c>
      <c r="B594" s="7" t="str">
        <f>HYPERLINK("https://twitter.com/PENCHO3","@PENCHO3")</f>
        <v>@PENCHO3</v>
      </c>
      <c r="C594" s="8" t="s">
        <v>2216</v>
      </c>
      <c r="D594" s="9" t="s">
        <v>2217</v>
      </c>
      <c r="E594" s="10" t="str">
        <f>HYPERLINK("https://twitter.com/PENCHO3/status/1070651032257118212","1070651032257118212")</f>
        <v>1070651032257118212</v>
      </c>
      <c r="F594" s="12"/>
      <c r="G594" s="11" t="s">
        <v>2218</v>
      </c>
      <c r="H594" s="12"/>
      <c r="I594" s="13">
        <v>4</v>
      </c>
      <c r="J594" s="13">
        <v>7</v>
      </c>
      <c r="K594" s="14" t="str">
        <f>HYPERLINK("http://twitter.com/download/iphone","Twitter for iPhone")</f>
        <v>Twitter for iPhone</v>
      </c>
      <c r="L594" s="13">
        <v>867</v>
      </c>
      <c r="M594" s="13">
        <v>355</v>
      </c>
      <c r="N594" s="13">
        <v>10</v>
      </c>
      <c r="O594" s="15"/>
      <c r="P594" s="6">
        <v>40501.580740740741</v>
      </c>
      <c r="Q594" s="16" t="s">
        <v>2219</v>
      </c>
      <c r="R594" s="17" t="s">
        <v>2220</v>
      </c>
      <c r="S594" s="11" t="s">
        <v>2221</v>
      </c>
      <c r="T594" s="12"/>
      <c r="U594" s="10" t="str">
        <f>HYPERLINK("https://pbs.twimg.com/profile_images/1000083838129922053/CnCjdw_c.jpg","View")</f>
        <v>View</v>
      </c>
    </row>
    <row r="595" spans="1:21" ht="61.2">
      <c r="A595" s="6">
        <v>43440.546122685184</v>
      </c>
      <c r="B595" s="7" t="str">
        <f>HYPERLINK("https://twitter.com/ERatpack","@ERatpack")</f>
        <v>@ERatpack</v>
      </c>
      <c r="C595" s="8" t="s">
        <v>2222</v>
      </c>
      <c r="D595" s="9" t="s">
        <v>2223</v>
      </c>
      <c r="E595" s="10" t="str">
        <f>HYPERLINK("https://twitter.com/ERatpack/status/1070650669206552577","1070650669206552577")</f>
        <v>1070650669206552577</v>
      </c>
      <c r="F595" s="12"/>
      <c r="G595" s="12"/>
      <c r="H595" s="12"/>
      <c r="I595" s="13">
        <v>0</v>
      </c>
      <c r="J595" s="13">
        <v>0</v>
      </c>
      <c r="K595" s="14" t="str">
        <f>HYPERLINK("http://twitter.com/download/android","Twitter for Android")</f>
        <v>Twitter for Android</v>
      </c>
      <c r="L595" s="13">
        <v>339</v>
      </c>
      <c r="M595" s="13">
        <v>298</v>
      </c>
      <c r="N595" s="13">
        <v>2</v>
      </c>
      <c r="O595" s="15"/>
      <c r="P595" s="6">
        <v>42978.848900462966</v>
      </c>
      <c r="Q595" s="12"/>
      <c r="R595" s="17" t="s">
        <v>2224</v>
      </c>
      <c r="S595" s="11" t="s">
        <v>2225</v>
      </c>
      <c r="T595" s="12"/>
      <c r="U595" s="10" t="str">
        <f>HYPERLINK("https://pbs.twimg.com/profile_images/1032412413243547650/uxlFsPHi.jpg","View")</f>
        <v>View</v>
      </c>
    </row>
    <row r="596" spans="1:21" ht="30.6">
      <c r="A596" s="6">
        <v>43440.544999999998</v>
      </c>
      <c r="B596" s="7" t="str">
        <f>HYPERLINK("https://twitter.com/ontibe","@ontibe")</f>
        <v>@ontibe</v>
      </c>
      <c r="C596" s="8" t="s">
        <v>2193</v>
      </c>
      <c r="D596" s="9" t="s">
        <v>2115</v>
      </c>
      <c r="E596" s="10" t="str">
        <f>HYPERLINK("https://twitter.com/ontibe/status/1070650261742542848","1070650261742542848")</f>
        <v>1070650261742542848</v>
      </c>
      <c r="F596" s="11" t="s">
        <v>1960</v>
      </c>
      <c r="G596" s="12"/>
      <c r="H596" s="12"/>
      <c r="I596" s="13">
        <v>1</v>
      </c>
      <c r="J596" s="13">
        <v>0</v>
      </c>
      <c r="K596" s="14" t="str">
        <f>HYPERLINK("http://twitter.com","Twitter Web Client")</f>
        <v>Twitter Web Client</v>
      </c>
      <c r="L596" s="13">
        <v>462</v>
      </c>
      <c r="M596" s="13">
        <v>1373</v>
      </c>
      <c r="N596" s="13">
        <v>1</v>
      </c>
      <c r="O596" s="15"/>
      <c r="P596" s="6">
        <v>40673.627766203703</v>
      </c>
      <c r="Q596" s="16" t="s">
        <v>2194</v>
      </c>
      <c r="R596" s="17" t="s">
        <v>2195</v>
      </c>
      <c r="S596" s="12"/>
      <c r="T596" s="12"/>
      <c r="U596" s="10" t="str">
        <f>HYPERLINK("https://pbs.twimg.com/profile_images/867069058037972993/9c2-Wrp7.jpg","View")</f>
        <v>View</v>
      </c>
    </row>
    <row r="597" spans="1:21" ht="20.399999999999999">
      <c r="A597" s="6">
        <v>43440.541689814811</v>
      </c>
      <c r="B597" s="7" t="str">
        <f>HYPERLINK("https://twitter.com/web_hispanidad","@web_hispanidad")</f>
        <v>@web_hispanidad</v>
      </c>
      <c r="C597" s="8" t="s">
        <v>2226</v>
      </c>
      <c r="D597" s="9" t="s">
        <v>2227</v>
      </c>
      <c r="E597" s="10" t="str">
        <f>HYPERLINK("https://twitter.com/web_hispanidad/status/1070649059373969408","1070649059373969408")</f>
        <v>1070649059373969408</v>
      </c>
      <c r="F597" s="11" t="s">
        <v>2228</v>
      </c>
      <c r="G597" s="12"/>
      <c r="H597" s="12"/>
      <c r="I597" s="13">
        <v>0</v>
      </c>
      <c r="J597" s="13">
        <v>0</v>
      </c>
      <c r="K597" s="14" t="str">
        <f>HYPERLINK("http://www.wearebab.com","Comitium5 BAB")</f>
        <v>Comitium5 BAB</v>
      </c>
      <c r="L597" s="13">
        <v>7616</v>
      </c>
      <c r="M597" s="13">
        <v>3846</v>
      </c>
      <c r="N597" s="13">
        <v>212</v>
      </c>
      <c r="O597" s="15"/>
      <c r="P597" s="6">
        <v>40274.553935185184</v>
      </c>
      <c r="Q597" s="16" t="s">
        <v>109</v>
      </c>
      <c r="R597" s="17" t="s">
        <v>2229</v>
      </c>
      <c r="S597" s="11" t="s">
        <v>2230</v>
      </c>
      <c r="T597" s="12"/>
      <c r="U597" s="10" t="str">
        <f>HYPERLINK("https://pbs.twimg.com/profile_images/841028223/logo_H.gif","View")</f>
        <v>View</v>
      </c>
    </row>
    <row r="598" spans="1:21" ht="30.6">
      <c r="A598" s="6">
        <v>43440.541412037041</v>
      </c>
      <c r="B598" s="7" t="str">
        <f>HYPERLINK("https://twitter.com/niebla004","@niebla004")</f>
        <v>@niebla004</v>
      </c>
      <c r="C598" s="8" t="s">
        <v>2231</v>
      </c>
      <c r="D598" s="9" t="s">
        <v>2232</v>
      </c>
      <c r="E598" s="10" t="str">
        <f>HYPERLINK("https://twitter.com/niebla004/status/1070648960136691712","1070648960136691712")</f>
        <v>1070648960136691712</v>
      </c>
      <c r="F598" s="11" t="s">
        <v>2233</v>
      </c>
      <c r="G598" s="12"/>
      <c r="H598" s="12"/>
      <c r="I598" s="13">
        <v>0</v>
      </c>
      <c r="J598" s="13">
        <v>0</v>
      </c>
      <c r="K598" s="14" t="str">
        <f>HYPERLINK("http://twitter.com/download/iphone","Twitter for iPhone")</f>
        <v>Twitter for iPhone</v>
      </c>
      <c r="L598" s="13">
        <v>827</v>
      </c>
      <c r="M598" s="13">
        <v>1939</v>
      </c>
      <c r="N598" s="13">
        <v>25</v>
      </c>
      <c r="O598" s="15"/>
      <c r="P598" s="6">
        <v>40604.456354166665</v>
      </c>
      <c r="Q598" s="16" t="s">
        <v>191</v>
      </c>
      <c r="R598" s="17" t="s">
        <v>2234</v>
      </c>
      <c r="S598" s="12"/>
      <c r="T598" s="12"/>
      <c r="U598" s="10" t="str">
        <f>HYPERLINK("https://pbs.twimg.com/profile_images/972080105131593730/jmlUyome.jpg","View")</f>
        <v>View</v>
      </c>
    </row>
    <row r="599" spans="1:21" ht="30.6">
      <c r="A599" s="6">
        <v>43440.539270833338</v>
      </c>
      <c r="B599" s="7" t="str">
        <f>HYPERLINK("https://twitter.com/inmoaverycom","@inmoaverycom")</f>
        <v>@inmoaverycom</v>
      </c>
      <c r="C599" s="21" t="s">
        <v>2235</v>
      </c>
      <c r="D599" s="9" t="s">
        <v>2236</v>
      </c>
      <c r="E599" s="10" t="str">
        <f>HYPERLINK("https://twitter.com/inmoaverycom/status/1070648185582993408","1070648185582993408")</f>
        <v>1070648185582993408</v>
      </c>
      <c r="F599" s="11" t="s">
        <v>1960</v>
      </c>
      <c r="G599" s="12"/>
      <c r="H599" s="12"/>
      <c r="I599" s="13">
        <v>0</v>
      </c>
      <c r="J599" s="13">
        <v>0</v>
      </c>
      <c r="K599" s="14" t="str">
        <f>HYPERLINK("http://twitter.com","Twitter Web Client")</f>
        <v>Twitter Web Client</v>
      </c>
      <c r="L599" s="13">
        <v>769</v>
      </c>
      <c r="M599" s="13">
        <v>1966</v>
      </c>
      <c r="N599" s="13">
        <v>11</v>
      </c>
      <c r="O599" s="15"/>
      <c r="P599" s="6">
        <v>40871.533506944441</v>
      </c>
      <c r="Q599" s="16" t="s">
        <v>2237</v>
      </c>
      <c r="R599" s="17" t="s">
        <v>2238</v>
      </c>
      <c r="S599" s="11" t="s">
        <v>2239</v>
      </c>
      <c r="T599" s="12"/>
      <c r="U599" s="10" t="str">
        <f>HYPERLINK("https://pbs.twimg.com/profile_images/537680086862798848/f8XEPU_F.jpeg","View")</f>
        <v>View</v>
      </c>
    </row>
    <row r="600" spans="1:21" ht="30.6">
      <c r="A600" s="6">
        <v>43440.53696759259</v>
      </c>
      <c r="B600" s="7" t="str">
        <f>HYPERLINK("https://twitter.com/ridermarina","@ridermarina")</f>
        <v>@ridermarina</v>
      </c>
      <c r="C600" s="8" t="s">
        <v>2240</v>
      </c>
      <c r="D600" s="9" t="s">
        <v>2241</v>
      </c>
      <c r="E600" s="10" t="str">
        <f>HYPERLINK("https://twitter.com/ridermarina/status/1070647347812683776","1070647347812683776")</f>
        <v>1070647347812683776</v>
      </c>
      <c r="F600" s="11" t="s">
        <v>1293</v>
      </c>
      <c r="G600" s="12"/>
      <c r="H600" s="12"/>
      <c r="I600" s="13">
        <v>0</v>
      </c>
      <c r="J600" s="13">
        <v>0</v>
      </c>
      <c r="K600" s="14" t="str">
        <f t="shared" ref="K600:K601" si="113">HYPERLINK("http://twitter.com/download/android","Twitter for Android")</f>
        <v>Twitter for Android</v>
      </c>
      <c r="L600" s="13">
        <v>8597</v>
      </c>
      <c r="M600" s="13">
        <v>9132</v>
      </c>
      <c r="N600" s="13">
        <v>210</v>
      </c>
      <c r="O600" s="15"/>
      <c r="P600" s="6">
        <v>40547.582106481481</v>
      </c>
      <c r="Q600" s="16" t="s">
        <v>2242</v>
      </c>
      <c r="R600" s="17" t="s">
        <v>2243</v>
      </c>
      <c r="S600" s="12"/>
      <c r="T600" s="12"/>
      <c r="U600" s="10" t="str">
        <f>HYPERLINK("https://pbs.twimg.com/profile_images/1069531664152449024/86eo3KY3.jpg","View")</f>
        <v>View</v>
      </c>
    </row>
    <row r="601" spans="1:21" ht="13.2">
      <c r="A601" s="6">
        <v>43440.535671296297</v>
      </c>
      <c r="B601" s="7" t="str">
        <f>HYPERLINK("https://twitter.com/Francis89445143","@Francis89445143")</f>
        <v>@Francis89445143</v>
      </c>
      <c r="C601" s="8" t="s">
        <v>2244</v>
      </c>
      <c r="D601" s="9" t="s">
        <v>1565</v>
      </c>
      <c r="E601" s="10" t="str">
        <f>HYPERLINK("https://twitter.com/Francis89445143/status/1070646881372516353","1070646881372516353")</f>
        <v>1070646881372516353</v>
      </c>
      <c r="F601" s="11" t="s">
        <v>1129</v>
      </c>
      <c r="G601" s="12"/>
      <c r="H601" s="12"/>
      <c r="I601" s="13">
        <v>0</v>
      </c>
      <c r="J601" s="13">
        <v>0</v>
      </c>
      <c r="K601" s="14" t="str">
        <f t="shared" si="113"/>
        <v>Twitter for Android</v>
      </c>
      <c r="L601" s="13">
        <v>862</v>
      </c>
      <c r="M601" s="13">
        <v>1016</v>
      </c>
      <c r="N601" s="13">
        <v>1</v>
      </c>
      <c r="O601" s="15"/>
      <c r="P601" s="6">
        <v>41720.920752314814</v>
      </c>
      <c r="Q601" s="12"/>
      <c r="R601" s="17" t="s">
        <v>2245</v>
      </c>
      <c r="S601" s="12"/>
      <c r="T601" s="12"/>
      <c r="U601" s="10" t="str">
        <f>HYPERLINK("https://pbs.twimg.com/profile_images/1051933303782207489/svRHcOgP.jpg","View")</f>
        <v>View</v>
      </c>
    </row>
    <row r="602" spans="1:21" ht="40.799999999999997">
      <c r="A602" s="6">
        <v>43440.534039351856</v>
      </c>
      <c r="B602" s="7" t="str">
        <f>HYPERLINK("https://twitter.com/VeoInfo_","@VeoInfo_")</f>
        <v>@VeoInfo_</v>
      </c>
      <c r="C602" s="8" t="s">
        <v>2007</v>
      </c>
      <c r="D602" s="9" t="s">
        <v>1155</v>
      </c>
      <c r="E602" s="10" t="str">
        <f>HYPERLINK("https://twitter.com/VeoInfo_/status/1070646289992507392","1070646289992507392")</f>
        <v>1070646289992507392</v>
      </c>
      <c r="F602" s="11" t="s">
        <v>2246</v>
      </c>
      <c r="G602" s="11" t="s">
        <v>2247</v>
      </c>
      <c r="H602" s="12"/>
      <c r="I602" s="13">
        <v>0</v>
      </c>
      <c r="J602" s="13">
        <v>0</v>
      </c>
      <c r="K602" s="14" t="str">
        <f>HYPERLINK("http://publicize.wp.com/","WordPress.com")</f>
        <v>WordPress.com</v>
      </c>
      <c r="L602" s="13">
        <v>1135</v>
      </c>
      <c r="M602" s="13">
        <v>1139</v>
      </c>
      <c r="N602" s="13">
        <v>37</v>
      </c>
      <c r="O602" s="15"/>
      <c r="P602" s="6">
        <v>41881.101840277777</v>
      </c>
      <c r="Q602" s="16" t="s">
        <v>2011</v>
      </c>
      <c r="R602" s="17" t="s">
        <v>2012</v>
      </c>
      <c r="S602" s="11" t="s">
        <v>2013</v>
      </c>
      <c r="T602" s="12"/>
      <c r="U602" s="10" t="str">
        <f>HYPERLINK("https://pbs.twimg.com/profile_images/601509372305485827/Val0dfGy.png","View")</f>
        <v>View</v>
      </c>
    </row>
    <row r="603" spans="1:21" ht="30.6">
      <c r="A603" s="6">
        <v>43440.531273148154</v>
      </c>
      <c r="B603" s="7" t="str">
        <f>HYPERLINK("https://twitter.com/pjgarciahidalgo","@pjgarciahidalgo")</f>
        <v>@pjgarciahidalgo</v>
      </c>
      <c r="C603" s="8" t="s">
        <v>2248</v>
      </c>
      <c r="D603" s="9" t="s">
        <v>2249</v>
      </c>
      <c r="E603" s="10" t="str">
        <f>HYPERLINK("https://twitter.com/pjgarciahidalgo/status/1070645287457357824","1070645287457357824")</f>
        <v>1070645287457357824</v>
      </c>
      <c r="F603" s="11" t="s">
        <v>1389</v>
      </c>
      <c r="G603" s="12"/>
      <c r="H603" s="12"/>
      <c r="I603" s="13">
        <v>0</v>
      </c>
      <c r="J603" s="13">
        <v>0</v>
      </c>
      <c r="K603" s="14" t="str">
        <f>HYPERLINK("http://twitter.com/download/iphone","Twitter for iPhone")</f>
        <v>Twitter for iPhone</v>
      </c>
      <c r="L603" s="13">
        <v>2245</v>
      </c>
      <c r="M603" s="13">
        <v>2440</v>
      </c>
      <c r="N603" s="13">
        <v>47</v>
      </c>
      <c r="O603" s="15"/>
      <c r="P603" s="6">
        <v>40578.523321759261</v>
      </c>
      <c r="Q603" s="16" t="s">
        <v>2250</v>
      </c>
      <c r="R603" s="17" t="s">
        <v>2251</v>
      </c>
      <c r="S603" s="11" t="s">
        <v>2252</v>
      </c>
      <c r="T603" s="12"/>
      <c r="U603" s="10" t="str">
        <f>HYPERLINK("https://pbs.twimg.com/profile_images/988825337680355328/Y_hmHVVO.jpg","View")</f>
        <v>View</v>
      </c>
    </row>
    <row r="604" spans="1:21" ht="51">
      <c r="A604" s="6">
        <v>43440.530925925923</v>
      </c>
      <c r="B604" s="7" t="str">
        <f>HYPERLINK("https://twitter.com/cervatospp","@cervatospp")</f>
        <v>@cervatospp</v>
      </c>
      <c r="C604" s="8" t="s">
        <v>2253</v>
      </c>
      <c r="D604" s="9" t="s">
        <v>2254</v>
      </c>
      <c r="E604" s="10" t="str">
        <f>HYPERLINK("https://twitter.com/cervatospp/status/1070645161246556160","1070645161246556160")</f>
        <v>1070645161246556160</v>
      </c>
      <c r="F604" s="12"/>
      <c r="G604" s="11" t="s">
        <v>2255</v>
      </c>
      <c r="H604" s="12"/>
      <c r="I604" s="13">
        <v>1</v>
      </c>
      <c r="J604" s="13">
        <v>2</v>
      </c>
      <c r="K604" s="14" t="str">
        <f t="shared" ref="K604:K605" si="114">HYPERLINK("http://twitter.com/download/android","Twitter for Android")</f>
        <v>Twitter for Android</v>
      </c>
      <c r="L604" s="13">
        <v>932</v>
      </c>
      <c r="M604" s="13">
        <v>1793</v>
      </c>
      <c r="N604" s="13">
        <v>4</v>
      </c>
      <c r="O604" s="15"/>
      <c r="P604" s="6">
        <v>40832.724976851852</v>
      </c>
      <c r="Q604" s="16" t="s">
        <v>2256</v>
      </c>
      <c r="R604" s="17" t="s">
        <v>2257</v>
      </c>
      <c r="S604" s="11" t="s">
        <v>2258</v>
      </c>
      <c r="T604" s="12"/>
      <c r="U604" s="10" t="str">
        <f>HYPERLINK("https://pbs.twimg.com/profile_images/1591164025/pp-2-cervatos.gif","View")</f>
        <v>View</v>
      </c>
    </row>
    <row r="605" spans="1:21" ht="20.399999999999999">
      <c r="A605" s="6">
        <v>43440.529675925922</v>
      </c>
      <c r="B605" s="7" t="str">
        <f>HYPERLINK("https://twitter.com/erregood","@erregood")</f>
        <v>@erregood</v>
      </c>
      <c r="C605" s="8" t="s">
        <v>2259</v>
      </c>
      <c r="D605" s="9" t="s">
        <v>2260</v>
      </c>
      <c r="E605" s="10" t="str">
        <f>HYPERLINK("https://twitter.com/erregood/status/1070644705849982977","1070644705849982977")</f>
        <v>1070644705849982977</v>
      </c>
      <c r="F605" s="12"/>
      <c r="G605" s="11" t="s">
        <v>2261</v>
      </c>
      <c r="H605" s="12"/>
      <c r="I605" s="13">
        <v>1</v>
      </c>
      <c r="J605" s="13">
        <v>3</v>
      </c>
      <c r="K605" s="14" t="str">
        <f t="shared" si="114"/>
        <v>Twitter for Android</v>
      </c>
      <c r="L605" s="13">
        <v>622</v>
      </c>
      <c r="M605" s="13">
        <v>525</v>
      </c>
      <c r="N605" s="13">
        <v>1</v>
      </c>
      <c r="O605" s="15"/>
      <c r="P605" s="6">
        <v>41366.862928240742</v>
      </c>
      <c r="Q605" s="12"/>
      <c r="R605" s="20"/>
      <c r="S605" s="12"/>
      <c r="T605" s="12"/>
      <c r="U605" s="10" t="str">
        <f>HYPERLINK("https://pbs.twimg.com/profile_images/1067728172173664256/IkllR3nB.jpg","View")</f>
        <v>View</v>
      </c>
    </row>
    <row r="606" spans="1:21" ht="20.399999999999999">
      <c r="A606" s="6">
        <v>43440.528831018513</v>
      </c>
      <c r="B606" s="7" t="str">
        <f>HYPERLINK("https://twitter.com/inmoaverycom","@inmoaverycom")</f>
        <v>@inmoaverycom</v>
      </c>
      <c r="C606" s="21" t="s">
        <v>2235</v>
      </c>
      <c r="D606" s="9" t="s">
        <v>2262</v>
      </c>
      <c r="E606" s="10" t="str">
        <f>HYPERLINK("https://twitter.com/inmoaverycom/status/1070644401679069184","1070644401679069184")</f>
        <v>1070644401679069184</v>
      </c>
      <c r="F606" s="11" t="s">
        <v>1599</v>
      </c>
      <c r="G606" s="12"/>
      <c r="H606" s="12"/>
      <c r="I606" s="13">
        <v>0</v>
      </c>
      <c r="J606" s="13">
        <v>0</v>
      </c>
      <c r="K606" s="14" t="str">
        <f>HYPERLINK("http://twitter.com","Twitter Web Client")</f>
        <v>Twitter Web Client</v>
      </c>
      <c r="L606" s="13">
        <v>769</v>
      </c>
      <c r="M606" s="13">
        <v>1966</v>
      </c>
      <c r="N606" s="13">
        <v>11</v>
      </c>
      <c r="O606" s="15"/>
      <c r="P606" s="6">
        <v>40871.533506944441</v>
      </c>
      <c r="Q606" s="16" t="s">
        <v>2237</v>
      </c>
      <c r="R606" s="17" t="s">
        <v>2238</v>
      </c>
      <c r="S606" s="11" t="s">
        <v>2239</v>
      </c>
      <c r="T606" s="12"/>
      <c r="U606" s="10" t="str">
        <f>HYPERLINK("https://pbs.twimg.com/profile_images/537680086862798848/f8XEPU_F.jpeg","View")</f>
        <v>View</v>
      </c>
    </row>
    <row r="607" spans="1:21" ht="30.6">
      <c r="A607" s="6">
        <v>43440.526030092587</v>
      </c>
      <c r="B607" s="7" t="str">
        <f>HYPERLINK("https://twitter.com/excometals","@excometals")</f>
        <v>@excometals</v>
      </c>
      <c r="C607" s="8" t="s">
        <v>2263</v>
      </c>
      <c r="D607" s="9" t="s">
        <v>2264</v>
      </c>
      <c r="E607" s="10" t="str">
        <f>HYPERLINK("https://twitter.com/excometals/status/1070643388012290048","1070643388012290048")</f>
        <v>1070643388012290048</v>
      </c>
      <c r="F607" s="11" t="s">
        <v>2265</v>
      </c>
      <c r="G607" s="12"/>
      <c r="H607" s="12"/>
      <c r="I607" s="13">
        <v>0</v>
      </c>
      <c r="J607" s="13">
        <v>0</v>
      </c>
      <c r="K607" s="14" t="str">
        <f>HYPERLINK("http://www.facebook.com/twitter","Facebook")</f>
        <v>Facebook</v>
      </c>
      <c r="L607" s="13">
        <v>963</v>
      </c>
      <c r="M607" s="13">
        <v>499</v>
      </c>
      <c r="N607" s="13">
        <v>57</v>
      </c>
      <c r="O607" s="15"/>
      <c r="P607" s="6">
        <v>40623.696446759262</v>
      </c>
      <c r="Q607" s="16" t="s">
        <v>48</v>
      </c>
      <c r="R607" s="20"/>
      <c r="S607" s="11" t="s">
        <v>2266</v>
      </c>
      <c r="T607" s="12"/>
      <c r="U607" s="10" t="str">
        <f>HYPERLINK("https://pbs.twimg.com/profile_images/1046250365228863488/Zl0YB5zT.jpg","View")</f>
        <v>View</v>
      </c>
    </row>
    <row r="608" spans="1:21" ht="71.400000000000006">
      <c r="A608" s="6">
        <v>43440.525578703702</v>
      </c>
      <c r="B608" s="7" t="str">
        <f>HYPERLINK("https://twitter.com/Paquita_R","@Paquita_R")</f>
        <v>@Paquita_R</v>
      </c>
      <c r="C608" s="8" t="s">
        <v>417</v>
      </c>
      <c r="D608" s="9" t="s">
        <v>2267</v>
      </c>
      <c r="E608" s="10" t="str">
        <f>HYPERLINK("https://twitter.com/Paquita_R/status/1070643223507451904","1070643223507451904")</f>
        <v>1070643223507451904</v>
      </c>
      <c r="F608" s="16" t="s">
        <v>2268</v>
      </c>
      <c r="G608" s="12"/>
      <c r="H608" s="12"/>
      <c r="I608" s="13">
        <v>0</v>
      </c>
      <c r="J608" s="13">
        <v>0</v>
      </c>
      <c r="K608" s="14" t="str">
        <f>HYPERLINK("http://twitter.com","Twitter Web Client")</f>
        <v>Twitter Web Client</v>
      </c>
      <c r="L608" s="13">
        <v>83</v>
      </c>
      <c r="M608" s="13">
        <v>369</v>
      </c>
      <c r="N608" s="13">
        <v>1</v>
      </c>
      <c r="O608" s="15"/>
      <c r="P608" s="6">
        <v>40174.983449074076</v>
      </c>
      <c r="Q608" s="16" t="s">
        <v>191</v>
      </c>
      <c r="R608" s="20"/>
      <c r="S608" s="12"/>
      <c r="T608" s="12"/>
      <c r="U608" s="10" t="str">
        <f>HYPERLINK("https://pbs.twimg.com/profile_images/1067916239484436480/NAudR-HG.jpg","View")</f>
        <v>View</v>
      </c>
    </row>
    <row r="609" spans="1:21" ht="51">
      <c r="A609" s="6">
        <v>43440.525405092594</v>
      </c>
      <c r="B609" s="7" t="str">
        <f>HYPERLINK("https://twitter.com/popularesmogan","@popularesmogan")</f>
        <v>@popularesmogan</v>
      </c>
      <c r="C609" s="8" t="s">
        <v>2269</v>
      </c>
      <c r="D609" s="9" t="s">
        <v>2270</v>
      </c>
      <c r="E609" s="10" t="str">
        <f>HYPERLINK("https://twitter.com/popularesmogan/status/1070643158487326720","1070643158487326720")</f>
        <v>1070643158487326720</v>
      </c>
      <c r="F609" s="12"/>
      <c r="G609" s="11" t="s">
        <v>2271</v>
      </c>
      <c r="H609" s="12"/>
      <c r="I609" s="13">
        <v>6</v>
      </c>
      <c r="J609" s="13">
        <v>5</v>
      </c>
      <c r="K609" s="14" t="str">
        <f>HYPERLINK("http://twitter.com/download/android","Twitter for Android")</f>
        <v>Twitter for Android</v>
      </c>
      <c r="L609" s="13">
        <v>364</v>
      </c>
      <c r="M609" s="13">
        <v>321</v>
      </c>
      <c r="N609" s="13">
        <v>10</v>
      </c>
      <c r="O609" s="15"/>
      <c r="P609" s="6">
        <v>41980.743078703701</v>
      </c>
      <c r="Q609" s="16" t="s">
        <v>2272</v>
      </c>
      <c r="R609" s="17" t="s">
        <v>2273</v>
      </c>
      <c r="S609" s="12"/>
      <c r="T609" s="12"/>
      <c r="U609" s="10" t="str">
        <f>HYPERLINK("https://pbs.twimg.com/profile_images/1057337250017624064/lw6IXDYJ.jpg","View")</f>
        <v>View</v>
      </c>
    </row>
    <row r="610" spans="1:21" ht="30.6">
      <c r="A610" s="6">
        <v>43440.525381944448</v>
      </c>
      <c r="B610" s="7" t="str">
        <f>HYPERLINK("https://twitter.com/Abierto_PP","@Abierto_PP")</f>
        <v>@Abierto_PP</v>
      </c>
      <c r="C610" s="8" t="s">
        <v>364</v>
      </c>
      <c r="D610" s="9" t="s">
        <v>2274</v>
      </c>
      <c r="E610" s="10" t="str">
        <f>HYPERLINK("https://twitter.com/Abierto_PP/status/1070643150568521728","1070643150568521728")</f>
        <v>1070643150568521728</v>
      </c>
      <c r="F610" s="11" t="s">
        <v>1129</v>
      </c>
      <c r="G610" s="12"/>
      <c r="H610" s="12"/>
      <c r="I610" s="13">
        <v>5</v>
      </c>
      <c r="J610" s="13">
        <v>7</v>
      </c>
      <c r="K610" s="14" t="str">
        <f>HYPERLINK("http://twitter.com/download/iphone","Twitter for iPhone")</f>
        <v>Twitter for iPhone</v>
      </c>
      <c r="L610" s="13">
        <v>526</v>
      </c>
      <c r="M610" s="13">
        <v>1124</v>
      </c>
      <c r="N610" s="13">
        <v>2</v>
      </c>
      <c r="O610" s="15"/>
      <c r="P610" s="6">
        <v>43275.910474537042</v>
      </c>
      <c r="Q610" s="16" t="s">
        <v>48</v>
      </c>
      <c r="R610" s="17" t="s">
        <v>366</v>
      </c>
      <c r="S610" s="11" t="s">
        <v>367</v>
      </c>
      <c r="T610" s="12"/>
      <c r="U610" s="10" t="str">
        <f>HYPERLINK("https://pbs.twimg.com/profile_images/1047545446925778944/Dh78YVga.jpg","View")</f>
        <v>View</v>
      </c>
    </row>
    <row r="611" spans="1:21" ht="51">
      <c r="A611" s="6">
        <v>43440.52516203704</v>
      </c>
      <c r="B611" s="7" t="str">
        <f>HYPERLINK("https://twitter.com/txema_joseba","@txema_joseba")</f>
        <v>@txema_joseba</v>
      </c>
      <c r="C611" s="8" t="s">
        <v>673</v>
      </c>
      <c r="D611" s="9" t="s">
        <v>2275</v>
      </c>
      <c r="E611" s="10" t="str">
        <f>HYPERLINK("https://twitter.com/txema_joseba/status/1070643070855733248","1070643070855733248")</f>
        <v>1070643070855733248</v>
      </c>
      <c r="F611" s="11" t="s">
        <v>621</v>
      </c>
      <c r="G611" s="12"/>
      <c r="H611" s="12"/>
      <c r="I611" s="13">
        <v>2</v>
      </c>
      <c r="J611" s="13">
        <v>2</v>
      </c>
      <c r="K611" s="14" t="str">
        <f>HYPERLINK("http://twitter.com","Twitter Web Client")</f>
        <v>Twitter Web Client</v>
      </c>
      <c r="L611" s="13">
        <v>6679</v>
      </c>
      <c r="M611" s="13">
        <v>6931</v>
      </c>
      <c r="N611" s="13">
        <v>34</v>
      </c>
      <c r="O611" s="15"/>
      <c r="P611" s="6">
        <v>41208.802557870367</v>
      </c>
      <c r="Q611" s="12"/>
      <c r="R611" s="17" t="s">
        <v>675</v>
      </c>
      <c r="S611" s="12"/>
      <c r="T611" s="12"/>
      <c r="U611" s="10" t="str">
        <f>HYPERLINK("https://pbs.twimg.com/profile_images/2767677804/c94fd40d597056fa95d9d81e81e8de38.jpeg","View")</f>
        <v>View</v>
      </c>
    </row>
    <row r="612" spans="1:21" ht="20.399999999999999">
      <c r="A612" s="6">
        <v>43440.524317129632</v>
      </c>
      <c r="B612" s="7" t="str">
        <f>HYPERLINK("https://twitter.com/sextaNoticias","@sextaNoticias")</f>
        <v>@sextaNoticias</v>
      </c>
      <c r="C612" s="8" t="s">
        <v>1716</v>
      </c>
      <c r="D612" s="9" t="s">
        <v>2276</v>
      </c>
      <c r="E612" s="10" t="str">
        <f>HYPERLINK("https://twitter.com/sextaNoticias/status/1070642763492933632","1070642763492933632")</f>
        <v>1070642763492933632</v>
      </c>
      <c r="F612" s="11" t="s">
        <v>2277</v>
      </c>
      <c r="G612" s="12"/>
      <c r="H612" s="12"/>
      <c r="I612" s="13">
        <v>4</v>
      </c>
      <c r="J612" s="13">
        <v>5</v>
      </c>
      <c r="K612" s="14" t="str">
        <f>HYPERLINK("http://dogtrack.es","DogTrack_Oficial")</f>
        <v>DogTrack_Oficial</v>
      </c>
      <c r="L612" s="13">
        <v>1112668</v>
      </c>
      <c r="M612" s="13">
        <v>279</v>
      </c>
      <c r="N612" s="13">
        <v>7291</v>
      </c>
      <c r="O612" s="19" t="s">
        <v>44</v>
      </c>
      <c r="P612" s="6">
        <v>40099.614328703705</v>
      </c>
      <c r="Q612" s="12"/>
      <c r="R612" s="17" t="s">
        <v>1719</v>
      </c>
      <c r="S612" s="11" t="s">
        <v>1720</v>
      </c>
      <c r="T612" s="12"/>
      <c r="U612" s="10" t="str">
        <f>HYPERLINK("https://pbs.twimg.com/profile_images/898970208551022592/hh3ITSK-.jpg","View")</f>
        <v>View</v>
      </c>
    </row>
    <row r="613" spans="1:21" ht="30.6">
      <c r="A613" s="6">
        <v>43440.522002314814</v>
      </c>
      <c r="B613" s="7" t="str">
        <f>HYPERLINK("https://twitter.com/kikelosada","@kikelosada")</f>
        <v>@kikelosada</v>
      </c>
      <c r="C613" s="8" t="s">
        <v>2278</v>
      </c>
      <c r="D613" s="9" t="s">
        <v>2279</v>
      </c>
      <c r="E613" s="10" t="str">
        <f>HYPERLINK("https://twitter.com/kikelosada/status/1070641926758637569","1070641926758637569")</f>
        <v>1070641926758637569</v>
      </c>
      <c r="F613" s="11" t="s">
        <v>2233</v>
      </c>
      <c r="G613" s="12"/>
      <c r="H613" s="12"/>
      <c r="I613" s="13">
        <v>0</v>
      </c>
      <c r="J613" s="13">
        <v>0</v>
      </c>
      <c r="K613" s="14" t="str">
        <f>HYPERLINK("http://twitter.com/download/android","Twitter for Android")</f>
        <v>Twitter for Android</v>
      </c>
      <c r="L613" s="13">
        <v>128</v>
      </c>
      <c r="M613" s="13">
        <v>341</v>
      </c>
      <c r="N613" s="13">
        <v>7</v>
      </c>
      <c r="O613" s="15"/>
      <c r="P613" s="6">
        <v>40395.705613425926</v>
      </c>
      <c r="Q613" s="16" t="s">
        <v>232</v>
      </c>
      <c r="R613" s="20"/>
      <c r="S613" s="12"/>
      <c r="T613" s="12"/>
      <c r="U613" s="10" t="str">
        <f>HYPERLINK("https://pbs.twimg.com/profile_images/621644237113847808/pctXQdxN.jpg","View")</f>
        <v>View</v>
      </c>
    </row>
    <row r="614" spans="1:21" ht="30.6">
      <c r="A614" s="6">
        <v>43440.521064814813</v>
      </c>
      <c r="B614" s="7" t="str">
        <f>HYPERLINK("https://twitter.com/exp_economia","@exp_economia")</f>
        <v>@exp_economia</v>
      </c>
      <c r="C614" s="8" t="s">
        <v>2280</v>
      </c>
      <c r="D614" s="9" t="s">
        <v>2189</v>
      </c>
      <c r="E614" s="10" t="str">
        <f>HYPERLINK("https://twitter.com/exp_economia/status/1070641587456303104","1070641587456303104")</f>
        <v>1070641587456303104</v>
      </c>
      <c r="F614" s="11" t="s">
        <v>2190</v>
      </c>
      <c r="G614" s="11" t="s">
        <v>2281</v>
      </c>
      <c r="H614" s="12"/>
      <c r="I614" s="13">
        <v>0</v>
      </c>
      <c r="J614" s="13">
        <v>0</v>
      </c>
      <c r="K614" s="14" t="str">
        <f>HYPERLINK("https://buffer.com","Buffer")</f>
        <v>Buffer</v>
      </c>
      <c r="L614" s="13">
        <v>12317</v>
      </c>
      <c r="M614" s="13">
        <v>83</v>
      </c>
      <c r="N614" s="13">
        <v>375</v>
      </c>
      <c r="O614" s="15"/>
      <c r="P614" s="6">
        <v>40602.704212962963</v>
      </c>
      <c r="Q614" s="16" t="s">
        <v>191</v>
      </c>
      <c r="R614" s="17" t="s">
        <v>2282</v>
      </c>
      <c r="S614" s="11" t="s">
        <v>2283</v>
      </c>
      <c r="T614" s="12"/>
      <c r="U614" s="10" t="str">
        <f>HYPERLINK("https://pbs.twimg.com/profile_images/580305929909985280/9ASzIVul.jpg","View")</f>
        <v>View</v>
      </c>
    </row>
    <row r="615" spans="1:21" ht="51">
      <c r="A615" s="6">
        <v>43440.520902777775</v>
      </c>
      <c r="B615" s="7" t="str">
        <f>HYPERLINK("https://twitter.com/eldiariomurcia","@eldiariomurcia")</f>
        <v>@eldiariomurcia</v>
      </c>
      <c r="C615" s="8" t="s">
        <v>112</v>
      </c>
      <c r="D615" s="9" t="s">
        <v>2284</v>
      </c>
      <c r="E615" s="10" t="str">
        <f>HYPERLINK("https://twitter.com/eldiariomurcia/status/1070641527876128769","1070641527876128769")</f>
        <v>1070641527876128769</v>
      </c>
      <c r="F615" s="11" t="s">
        <v>2285</v>
      </c>
      <c r="G615" s="12"/>
      <c r="H615" s="12"/>
      <c r="I615" s="13">
        <v>0</v>
      </c>
      <c r="J615" s="13">
        <v>0</v>
      </c>
      <c r="K615" s="14" t="str">
        <f>HYPERLINK("https://www.hootsuite.com","Hootsuite Inc.")</f>
        <v>Hootsuite Inc.</v>
      </c>
      <c r="L615" s="13">
        <v>7001</v>
      </c>
      <c r="M615" s="13">
        <v>2164</v>
      </c>
      <c r="N615" s="13">
        <v>152</v>
      </c>
      <c r="O615" s="15"/>
      <c r="P615" s="6">
        <v>41907.596539351856</v>
      </c>
      <c r="Q615" s="16" t="s">
        <v>115</v>
      </c>
      <c r="R615" s="17" t="s">
        <v>116</v>
      </c>
      <c r="S615" s="11" t="s">
        <v>117</v>
      </c>
      <c r="T615" s="12"/>
      <c r="U615" s="10" t="str">
        <f>HYPERLINK("https://pbs.twimg.com/profile_images/972423446188699648/DsZx-3Jc.jpg","View")</f>
        <v>View</v>
      </c>
    </row>
    <row r="616" spans="1:21" ht="40.799999999999997">
      <c r="A616" s="6">
        <v>43440.520833333328</v>
      </c>
      <c r="B616" s="7" t="str">
        <f>HYPERLINK("https://twitter.com/laSextaTV","@laSextaTV")</f>
        <v>@laSextaTV</v>
      </c>
      <c r="C616" s="8" t="s">
        <v>1757</v>
      </c>
      <c r="D616" s="9" t="s">
        <v>2286</v>
      </c>
      <c r="E616" s="10" t="str">
        <f>HYPERLINK("https://twitter.com/laSextaTV/status/1070641502676811778","1070641502676811778")</f>
        <v>1070641502676811778</v>
      </c>
      <c r="F616" s="11" t="s">
        <v>2287</v>
      </c>
      <c r="G616" s="12"/>
      <c r="H616" s="12"/>
      <c r="I616" s="13">
        <v>0</v>
      </c>
      <c r="J616" s="13">
        <v>3</v>
      </c>
      <c r="K616" s="14" t="str">
        <f>HYPERLINK("http://dogtrack.es","DogTrack_Oficial")</f>
        <v>DogTrack_Oficial</v>
      </c>
      <c r="L616" s="13">
        <v>915221</v>
      </c>
      <c r="M616" s="13">
        <v>307</v>
      </c>
      <c r="N616" s="13">
        <v>5857</v>
      </c>
      <c r="O616" s="19" t="s">
        <v>44</v>
      </c>
      <c r="P616" s="6">
        <v>39877.804710648146</v>
      </c>
      <c r="Q616" s="16" t="s">
        <v>86</v>
      </c>
      <c r="R616" s="17" t="s">
        <v>1760</v>
      </c>
      <c r="S616" s="11" t="s">
        <v>1761</v>
      </c>
      <c r="T616" s="12"/>
      <c r="U616" s="10" t="str">
        <f>HYPERLINK("https://pbs.twimg.com/profile_images/898966361426231296/0sS0RzFh.jpg","View")</f>
        <v>View</v>
      </c>
    </row>
    <row r="617" spans="1:21" ht="40.799999999999997">
      <c r="A617" s="6">
        <v>43440.520162037035</v>
      </c>
      <c r="B617" s="7" t="str">
        <f>HYPERLINK("https://twitter.com/expansioncom","@expansioncom")</f>
        <v>@expansioncom</v>
      </c>
      <c r="C617" s="8" t="s">
        <v>2288</v>
      </c>
      <c r="D617" s="9" t="s">
        <v>2189</v>
      </c>
      <c r="E617" s="10" t="str">
        <f>HYPERLINK("https://twitter.com/expansioncom/status/1070641257599430661","1070641257599430661")</f>
        <v>1070641257599430661</v>
      </c>
      <c r="F617" s="11" t="s">
        <v>2190</v>
      </c>
      <c r="G617" s="11" t="s">
        <v>2289</v>
      </c>
      <c r="H617" s="12"/>
      <c r="I617" s="13">
        <v>1</v>
      </c>
      <c r="J617" s="13">
        <v>1</v>
      </c>
      <c r="K617" s="14" t="str">
        <f>HYPERLINK("https://buffer.com","Buffer")</f>
        <v>Buffer</v>
      </c>
      <c r="L617" s="13">
        <v>713010</v>
      </c>
      <c r="M617" s="13">
        <v>281</v>
      </c>
      <c r="N617" s="13">
        <v>9868</v>
      </c>
      <c r="O617" s="19" t="s">
        <v>44</v>
      </c>
      <c r="P617" s="6">
        <v>39597.465937499997</v>
      </c>
      <c r="Q617" s="16" t="s">
        <v>48</v>
      </c>
      <c r="R617" s="17" t="s">
        <v>2290</v>
      </c>
      <c r="S617" s="11" t="s">
        <v>2283</v>
      </c>
      <c r="T617" s="12"/>
      <c r="U617" s="10" t="str">
        <f>HYPERLINK("https://pbs.twimg.com/profile_images/580307398012870656/EcHhO0Lq.jpg","View")</f>
        <v>View</v>
      </c>
    </row>
    <row r="618" spans="1:21" ht="30.6">
      <c r="A618" s="6">
        <v>43440.518055555556</v>
      </c>
      <c r="B618" s="7" t="str">
        <f>HYPERLINK("https://twitter.com/eldiarioes","@eldiarioes")</f>
        <v>@eldiarioes</v>
      </c>
      <c r="C618" s="21" t="s">
        <v>964</v>
      </c>
      <c r="D618" s="9" t="s">
        <v>1155</v>
      </c>
      <c r="E618" s="10" t="str">
        <f>HYPERLINK("https://twitter.com/eldiarioes/status/1070640495540494336","1070640495540494336")</f>
        <v>1070640495540494336</v>
      </c>
      <c r="F618" s="11" t="s">
        <v>1156</v>
      </c>
      <c r="G618" s="11" t="s">
        <v>2291</v>
      </c>
      <c r="H618" s="12"/>
      <c r="I618" s="13">
        <v>53</v>
      </c>
      <c r="J618" s="13">
        <v>9</v>
      </c>
      <c r="K618" s="14" t="str">
        <f>HYPERLINK("https://about.twitter.com/products/tweetdeck","TweetDeck")</f>
        <v>TweetDeck</v>
      </c>
      <c r="L618" s="13">
        <v>940168</v>
      </c>
      <c r="M618" s="13">
        <v>456</v>
      </c>
      <c r="N618" s="13">
        <v>11261</v>
      </c>
      <c r="O618" s="19" t="s">
        <v>44</v>
      </c>
      <c r="P618" s="6">
        <v>40992.839189814811</v>
      </c>
      <c r="Q618" s="12"/>
      <c r="R618" s="17" t="s">
        <v>965</v>
      </c>
      <c r="S618" s="11" t="s">
        <v>966</v>
      </c>
      <c r="T618" s="12"/>
      <c r="U618" s="10" t="str">
        <f>HYPERLINK("https://pbs.twimg.com/profile_images/1016600645292511232/eYIkIK2s.jpg","View")</f>
        <v>View</v>
      </c>
    </row>
    <row r="619" spans="1:21" ht="40.799999999999997">
      <c r="A619" s="6">
        <v>43440.517083333332</v>
      </c>
      <c r="B619" s="7" t="str">
        <f>HYPERLINK("https://twitter.com/zapper_news","@zapper_news")</f>
        <v>@zapper_news</v>
      </c>
      <c r="C619" s="8" t="s">
        <v>26</v>
      </c>
      <c r="D619" s="9" t="s">
        <v>159</v>
      </c>
      <c r="E619" s="10" t="str">
        <f>HYPERLINK("https://twitter.com/zapper_news/status/1070640142304583682","1070640142304583682")</f>
        <v>1070640142304583682</v>
      </c>
      <c r="F619" s="11" t="s">
        <v>160</v>
      </c>
      <c r="G619" s="12"/>
      <c r="H619" s="12"/>
      <c r="I619" s="13">
        <v>0</v>
      </c>
      <c r="J619" s="13">
        <v>0</v>
      </c>
      <c r="K619" s="14" t="str">
        <f>HYPERLINK("http://www.tier.be","Stats Now")</f>
        <v>Stats Now</v>
      </c>
      <c r="L619" s="13">
        <v>285</v>
      </c>
      <c r="M619" s="13">
        <v>1845</v>
      </c>
      <c r="N619" s="13">
        <v>0</v>
      </c>
      <c r="O619" s="15"/>
      <c r="P619" s="6">
        <v>42874.842048611114</v>
      </c>
      <c r="Q619" s="16" t="s">
        <v>30</v>
      </c>
      <c r="R619" s="17" t="s">
        <v>32</v>
      </c>
      <c r="S619" s="11" t="s">
        <v>33</v>
      </c>
      <c r="T619" s="12"/>
      <c r="U619" s="10" t="str">
        <f>HYPERLINK("https://pbs.twimg.com/profile_images/1011404142210961408/ffUw_4XH.jpg","View")</f>
        <v>View</v>
      </c>
    </row>
    <row r="620" spans="1:21" ht="30.6">
      <c r="A620" s="6">
        <v>43440.516643518524</v>
      </c>
      <c r="B620" s="7" t="str">
        <f>HYPERLINK("https://twitter.com/mariapuntoes","@mariapuntoes")</f>
        <v>@mariapuntoes</v>
      </c>
      <c r="C620" s="8" t="s">
        <v>2294</v>
      </c>
      <c r="D620" s="9" t="s">
        <v>2295</v>
      </c>
      <c r="E620" s="10" t="str">
        <f>HYPERLINK("https://twitter.com/mariapuntoes/status/1070639985932537858","1070639985932537858")</f>
        <v>1070639985932537858</v>
      </c>
      <c r="F620" s="12"/>
      <c r="G620" s="12"/>
      <c r="H620" s="12"/>
      <c r="I620" s="13">
        <v>4</v>
      </c>
      <c r="J620" s="13">
        <v>22</v>
      </c>
      <c r="K620" s="14" t="str">
        <f>HYPERLINK("http://twitter.com/download/iphone","Twitter for iPhone")</f>
        <v>Twitter for iPhone</v>
      </c>
      <c r="L620" s="13">
        <v>14387</v>
      </c>
      <c r="M620" s="13">
        <v>2875</v>
      </c>
      <c r="N620" s="13">
        <v>346</v>
      </c>
      <c r="O620" s="19" t="s">
        <v>44</v>
      </c>
      <c r="P620" s="6">
        <v>40613.685208333336</v>
      </c>
      <c r="Q620" s="16" t="s">
        <v>48</v>
      </c>
      <c r="R620" s="17" t="s">
        <v>2296</v>
      </c>
      <c r="S620" s="11" t="s">
        <v>2297</v>
      </c>
      <c r="T620" s="12"/>
      <c r="U620" s="10" t="str">
        <f>HYPERLINK("https://pbs.twimg.com/profile_images/1000722689940774912/cblj3vHt.jpg","View")</f>
        <v>View</v>
      </c>
    </row>
    <row r="621" spans="1:21" ht="30.6">
      <c r="A621" s="6">
        <v>43440.51362268519</v>
      </c>
      <c r="B621" s="7" t="str">
        <f>HYPERLINK("https://twitter.com/popularestorre","@popularestorre")</f>
        <v>@popularestorre</v>
      </c>
      <c r="C621" s="8" t="s">
        <v>2298</v>
      </c>
      <c r="D621" s="9" t="s">
        <v>2299</v>
      </c>
      <c r="E621" s="10" t="str">
        <f>HYPERLINK("https://twitter.com/popularestorre/status/1070638888585170944","1070638888585170944")</f>
        <v>1070638888585170944</v>
      </c>
      <c r="F621" s="11" t="s">
        <v>2300</v>
      </c>
      <c r="G621" s="12"/>
      <c r="H621" s="12"/>
      <c r="I621" s="13">
        <v>3</v>
      </c>
      <c r="J621" s="13">
        <v>6</v>
      </c>
      <c r="K621" s="14" t="str">
        <f>HYPERLINK("http://twitter.com/download/android","Twitter for Android")</f>
        <v>Twitter for Android</v>
      </c>
      <c r="L621" s="13">
        <v>1350</v>
      </c>
      <c r="M621" s="13">
        <v>746</v>
      </c>
      <c r="N621" s="13">
        <v>35</v>
      </c>
      <c r="O621" s="15"/>
      <c r="P621" s="6">
        <v>40716.470266203702</v>
      </c>
      <c r="Q621" s="16" t="s">
        <v>2301</v>
      </c>
      <c r="R621" s="20"/>
      <c r="S621" s="11" t="s">
        <v>2302</v>
      </c>
      <c r="T621" s="12"/>
      <c r="U621" s="10" t="str">
        <f>HYPERLINK("https://pbs.twimg.com/profile_images/899654793953591296/TAdLF3gL.jpg","View")</f>
        <v>View</v>
      </c>
    </row>
    <row r="622" spans="1:21" ht="30.6">
      <c r="A622" s="6">
        <v>43440.51258101852</v>
      </c>
      <c r="B622" s="7" t="str">
        <f>HYPERLINK("https://twitter.com/UrretaJorge","@UrretaJorge")</f>
        <v>@UrretaJorge</v>
      </c>
      <c r="C622" s="8" t="s">
        <v>2094</v>
      </c>
      <c r="D622" s="9" t="s">
        <v>1209</v>
      </c>
      <c r="E622" s="10" t="str">
        <f>HYPERLINK("https://twitter.com/UrretaJorge/status/1070638511970111489","1070638511970111489")</f>
        <v>1070638511970111489</v>
      </c>
      <c r="F622" s="11" t="s">
        <v>2303</v>
      </c>
      <c r="G622" s="11" t="s">
        <v>2304</v>
      </c>
      <c r="H622" s="12"/>
      <c r="I622" s="13">
        <v>0</v>
      </c>
      <c r="J622" s="13">
        <v>0</v>
      </c>
      <c r="K622" s="14" t="str">
        <f>HYPERLINK("https://dlvrit.com/","dlvr.it")</f>
        <v>dlvr.it</v>
      </c>
      <c r="L622" s="13">
        <v>6180</v>
      </c>
      <c r="M622" s="13">
        <v>6333</v>
      </c>
      <c r="N622" s="13">
        <v>116</v>
      </c>
      <c r="O622" s="15"/>
      <c r="P622" s="6">
        <v>41216.774305555555</v>
      </c>
      <c r="Q622" s="16" t="s">
        <v>2097</v>
      </c>
      <c r="R622" s="17" t="s">
        <v>2098</v>
      </c>
      <c r="S622" s="11" t="s">
        <v>2099</v>
      </c>
      <c r="T622" s="12"/>
      <c r="U622" s="10" t="str">
        <f>HYPERLINK("https://pbs.twimg.com/profile_images/636651341385965569/1AdINThO.jpg","View")</f>
        <v>View</v>
      </c>
    </row>
    <row r="623" spans="1:21" ht="30.6">
      <c r="A623" s="6">
        <v>43440.511365740742</v>
      </c>
      <c r="B623" s="7" t="str">
        <f>HYPERLINK("https://twitter.com/TurboNoticias","@TurboNoticias")</f>
        <v>@TurboNoticias</v>
      </c>
      <c r="C623" s="8" t="s">
        <v>2100</v>
      </c>
      <c r="D623" s="9" t="s">
        <v>1155</v>
      </c>
      <c r="E623" s="10" t="str">
        <f>HYPERLINK("https://twitter.com/TurboNoticias/status/1070638072113573888","1070638072113573888")</f>
        <v>1070638072113573888</v>
      </c>
      <c r="F623" s="11" t="s">
        <v>1156</v>
      </c>
      <c r="G623" s="12"/>
      <c r="H623" s="12"/>
      <c r="I623" s="13">
        <v>0</v>
      </c>
      <c r="J623" s="13">
        <v>0</v>
      </c>
      <c r="K623" s="14" t="str">
        <f>HYPERLINK("https://ifttt.com","IFTTT")</f>
        <v>IFTTT</v>
      </c>
      <c r="L623" s="13">
        <v>965</v>
      </c>
      <c r="M623" s="13">
        <v>853</v>
      </c>
      <c r="N623" s="13">
        <v>72</v>
      </c>
      <c r="O623" s="15"/>
      <c r="P623" s="6">
        <v>41374.90861111111</v>
      </c>
      <c r="Q623" s="12"/>
      <c r="R623" s="17" t="s">
        <v>2101</v>
      </c>
      <c r="S623" s="12"/>
      <c r="T623" s="12"/>
      <c r="U623" s="10" t="str">
        <f>HYPERLINK("https://pbs.twimg.com/profile_images/3503488030/f3fa72449e81ed8eb09fe5df9d6c5afe.jpeg","View")</f>
        <v>View</v>
      </c>
    </row>
    <row r="624" spans="1:21" ht="51">
      <c r="A624" s="6">
        <v>43440.510520833333</v>
      </c>
      <c r="B624" s="7" t="str">
        <f>HYPERLINK("https://twitter.com/srta_freedom","@srta_freedom")</f>
        <v>@srta_freedom</v>
      </c>
      <c r="C624" s="8" t="s">
        <v>2305</v>
      </c>
      <c r="D624" s="9" t="s">
        <v>2306</v>
      </c>
      <c r="E624" s="10" t="str">
        <f>HYPERLINK("https://twitter.com/srta_freedom/status/1070637767326076928","1070637767326076928")</f>
        <v>1070637767326076928</v>
      </c>
      <c r="F624" s="11" t="s">
        <v>2307</v>
      </c>
      <c r="G624" s="12"/>
      <c r="H624" s="12"/>
      <c r="I624" s="13">
        <v>0</v>
      </c>
      <c r="J624" s="13">
        <v>0</v>
      </c>
      <c r="K624" s="14" t="str">
        <f>HYPERLINK("http://twitter.com/download/android","Twitter for Android")</f>
        <v>Twitter for Android</v>
      </c>
      <c r="L624" s="13">
        <v>166</v>
      </c>
      <c r="M624" s="13">
        <v>751</v>
      </c>
      <c r="N624" s="13">
        <v>0</v>
      </c>
      <c r="O624" s="15"/>
      <c r="P624" s="6">
        <v>42665.552071759259</v>
      </c>
      <c r="Q624" s="16" t="s">
        <v>2308</v>
      </c>
      <c r="R624" s="17" t="s">
        <v>2309</v>
      </c>
      <c r="S624" s="12"/>
      <c r="T624" s="12"/>
      <c r="U624" s="10" t="str">
        <f>HYPERLINK("https://pbs.twimg.com/profile_images/1061226423367667712/N1WBogU0.jpg","View")</f>
        <v>View</v>
      </c>
    </row>
    <row r="625" spans="1:21" ht="30.6">
      <c r="A625" s="6">
        <v>43440.507060185184</v>
      </c>
      <c r="B625" s="7" t="str">
        <f>HYPERLINK("https://twitter.com/AlsurBm","@AlsurBm")</f>
        <v>@AlsurBm</v>
      </c>
      <c r="C625" s="8" t="s">
        <v>2310</v>
      </c>
      <c r="D625" s="9" t="s">
        <v>2311</v>
      </c>
      <c r="E625" s="10" t="str">
        <f>HYPERLINK("https://twitter.com/AlsurBm/status/1070636511962521600","1070636511962521600")</f>
        <v>1070636511962521600</v>
      </c>
      <c r="F625" s="12"/>
      <c r="G625" s="11" t="s">
        <v>2312</v>
      </c>
      <c r="H625" s="12"/>
      <c r="I625" s="13">
        <v>2</v>
      </c>
      <c r="J625" s="13">
        <v>6</v>
      </c>
      <c r="K625" s="14" t="str">
        <f>HYPERLINK("http://twitter.com","Twitter Web Client")</f>
        <v>Twitter Web Client</v>
      </c>
      <c r="L625" s="13">
        <v>318</v>
      </c>
      <c r="M625" s="13">
        <v>63</v>
      </c>
      <c r="N625" s="13">
        <v>2</v>
      </c>
      <c r="O625" s="15"/>
      <c r="P625" s="6">
        <v>43329.528773148151</v>
      </c>
      <c r="Q625" s="16" t="s">
        <v>2313</v>
      </c>
      <c r="R625" s="17" t="s">
        <v>2314</v>
      </c>
      <c r="S625" s="11" t="s">
        <v>2315</v>
      </c>
      <c r="T625" s="12"/>
      <c r="U625" s="10" t="str">
        <f>HYPERLINK("https://pbs.twimg.com/profile_images/1030404973811691520/cRhVrmAU.jpg","View")</f>
        <v>View</v>
      </c>
    </row>
    <row r="626" spans="1:21" ht="40.799999999999997">
      <c r="A626" s="6">
        <v>43440.506909722222</v>
      </c>
      <c r="B626" s="7" t="str">
        <f>HYPERLINK("https://twitter.com/antonioperal","@antonioperal")</f>
        <v>@antonioperal</v>
      </c>
      <c r="C626" s="8" t="s">
        <v>1767</v>
      </c>
      <c r="D626" s="9" t="s">
        <v>2316</v>
      </c>
      <c r="E626" s="10" t="str">
        <f>HYPERLINK("https://twitter.com/antonioperal/status/1070636459005263877","1070636459005263877")</f>
        <v>1070636459005263877</v>
      </c>
      <c r="F626" s="11" t="s">
        <v>1129</v>
      </c>
      <c r="G626" s="12"/>
      <c r="H626" s="12"/>
      <c r="I626" s="13">
        <v>0</v>
      </c>
      <c r="J626" s="13">
        <v>1</v>
      </c>
      <c r="K626" s="14" t="str">
        <f>HYPERLINK("http://twitter.com/download/iphone","Twitter for iPhone")</f>
        <v>Twitter for iPhone</v>
      </c>
      <c r="L626" s="13">
        <v>17606</v>
      </c>
      <c r="M626" s="13">
        <v>12085</v>
      </c>
      <c r="N626" s="13">
        <v>282</v>
      </c>
      <c r="O626" s="15"/>
      <c r="P626" s="6">
        <v>40232.406469907408</v>
      </c>
      <c r="Q626" s="16" t="s">
        <v>1772</v>
      </c>
      <c r="R626" s="17" t="s">
        <v>1773</v>
      </c>
      <c r="S626" s="11" t="s">
        <v>1774</v>
      </c>
      <c r="T626" s="12"/>
      <c r="U626" s="10" t="str">
        <f>HYPERLINK("https://pbs.twimg.com/profile_images/886138908311990273/JuZB9dVx.jpg","View")</f>
        <v>View</v>
      </c>
    </row>
    <row r="627" spans="1:21" ht="30.6">
      <c r="A627" s="6">
        <v>43440.506597222222</v>
      </c>
      <c r="B627" s="7" t="str">
        <f>HYPERLINK("https://twitter.com/NoticiarioCentr","@NoticiarioCentr")</f>
        <v>@NoticiarioCentr</v>
      </c>
      <c r="C627" s="8" t="s">
        <v>2317</v>
      </c>
      <c r="D627" s="9" t="s">
        <v>2318</v>
      </c>
      <c r="E627" s="10" t="str">
        <f>HYPERLINK("https://twitter.com/NoticiarioCentr/status/1070636342449704960","1070636342449704960")</f>
        <v>1070636342449704960</v>
      </c>
      <c r="F627" s="12"/>
      <c r="G627" s="11" t="s">
        <v>2319</v>
      </c>
      <c r="H627" s="12"/>
      <c r="I627" s="13">
        <v>0</v>
      </c>
      <c r="J627" s="13">
        <v>0</v>
      </c>
      <c r="K627" s="14" t="str">
        <f>HYPERLINK("http://twitter.com","Twitter Web Client")</f>
        <v>Twitter Web Client</v>
      </c>
      <c r="L627" s="13">
        <v>251</v>
      </c>
      <c r="M627" s="13">
        <v>292</v>
      </c>
      <c r="N627" s="13">
        <v>13</v>
      </c>
      <c r="O627" s="15"/>
      <c r="P627" s="6">
        <v>40483.373576388891</v>
      </c>
      <c r="Q627" s="16" t="s">
        <v>2320</v>
      </c>
      <c r="R627" s="17" t="s">
        <v>2321</v>
      </c>
      <c r="S627" s="11" t="s">
        <v>2322</v>
      </c>
      <c r="T627" s="12"/>
      <c r="U627" s="10" t="str">
        <f>HYPERLINK("https://pbs.twimg.com/profile_images/653156876755038208/gucEJYx7.jpg","View")</f>
        <v>View</v>
      </c>
    </row>
    <row r="628" spans="1:21" ht="30.6">
      <c r="A628" s="6">
        <v>43440.505648148144</v>
      </c>
      <c r="B628" s="7" t="str">
        <f>HYPERLINK("https://twitter.com/pasanospoco","@pasanospoco")</f>
        <v>@pasanospoco</v>
      </c>
      <c r="C628" s="8" t="s">
        <v>2323</v>
      </c>
      <c r="D628" s="9" t="s">
        <v>2324</v>
      </c>
      <c r="E628" s="10" t="str">
        <f>HYPERLINK("https://twitter.com/pasanospoco/status/1070635999825416192","1070635999825416192")</f>
        <v>1070635999825416192</v>
      </c>
      <c r="F628" s="12"/>
      <c r="G628" s="11" t="s">
        <v>2325</v>
      </c>
      <c r="H628" s="12"/>
      <c r="I628" s="13">
        <v>2</v>
      </c>
      <c r="J628" s="13">
        <v>2</v>
      </c>
      <c r="K628" s="14" t="str">
        <f>HYPERLINK("http://twitter.com/download/android","Twitter for Android")</f>
        <v>Twitter for Android</v>
      </c>
      <c r="L628" s="13">
        <v>852</v>
      </c>
      <c r="M628" s="13">
        <v>246</v>
      </c>
      <c r="N628" s="13">
        <v>18</v>
      </c>
      <c r="O628" s="15"/>
      <c r="P628" s="6">
        <v>42247.758414351847</v>
      </c>
      <c r="Q628" s="12"/>
      <c r="R628" s="17" t="s">
        <v>2326</v>
      </c>
      <c r="S628" s="12"/>
      <c r="T628" s="12"/>
      <c r="U628" s="10" t="str">
        <f>HYPERLINK("https://pbs.twimg.com/profile_images/1036944079282753536/Bklk7Lpn.jpg","View")</f>
        <v>View</v>
      </c>
    </row>
    <row r="629" spans="1:21" ht="30.6">
      <c r="A629" s="6">
        <v>43440.502893518518</v>
      </c>
      <c r="B629" s="7" t="str">
        <f>HYPERLINK("https://twitter.com/bergabil94","@bergabil94")</f>
        <v>@bergabil94</v>
      </c>
      <c r="C629" s="8" t="s">
        <v>2073</v>
      </c>
      <c r="D629" s="9" t="s">
        <v>1155</v>
      </c>
      <c r="E629" s="10" t="str">
        <f>HYPERLINK("https://twitter.com/bergabil94/status/1070635002491228161","1070635002491228161")</f>
        <v>1070635002491228161</v>
      </c>
      <c r="F629" s="11" t="s">
        <v>1476</v>
      </c>
      <c r="G629" s="12"/>
      <c r="H629" s="12"/>
      <c r="I629" s="13">
        <v>0</v>
      </c>
      <c r="J629" s="13">
        <v>0</v>
      </c>
      <c r="K629" s="14" t="str">
        <f>HYPERLINK("https://ifttt.com","IFTTT")</f>
        <v>IFTTT</v>
      </c>
      <c r="L629" s="13">
        <v>63</v>
      </c>
      <c r="M629" s="13">
        <v>51</v>
      </c>
      <c r="N629" s="13">
        <v>3</v>
      </c>
      <c r="O629" s="15"/>
      <c r="P629" s="6">
        <v>42758.422662037032</v>
      </c>
      <c r="Q629" s="16" t="s">
        <v>30</v>
      </c>
      <c r="R629" s="17" t="s">
        <v>2074</v>
      </c>
      <c r="S629" s="12"/>
      <c r="T629" s="12"/>
      <c r="U629" s="10" t="str">
        <f>HYPERLINK("https://pbs.twimg.com/profile_images/823457736675459073/c35uioBB.jpg","View")</f>
        <v>View</v>
      </c>
    </row>
    <row r="630" spans="1:21" ht="40.799999999999997">
      <c r="A630" s="6">
        <v>43440.50267361111</v>
      </c>
      <c r="B630" s="7" t="str">
        <f>HYPERLINK("https://twitter.com/ridermarina","@ridermarina")</f>
        <v>@ridermarina</v>
      </c>
      <c r="C630" s="8" t="s">
        <v>2240</v>
      </c>
      <c r="D630" s="9" t="s">
        <v>2327</v>
      </c>
      <c r="E630" s="10" t="str">
        <f>HYPERLINK("https://twitter.com/ridermarina/status/1070634921344016384","1070634921344016384")</f>
        <v>1070634921344016384</v>
      </c>
      <c r="F630" s="11" t="s">
        <v>2328</v>
      </c>
      <c r="G630" s="12"/>
      <c r="H630" s="12"/>
      <c r="I630" s="13">
        <v>3</v>
      </c>
      <c r="J630" s="13">
        <v>2</v>
      </c>
      <c r="K630" s="14" t="str">
        <f>HYPERLINK("http://twitter.com/download/android","Twitter for Android")</f>
        <v>Twitter for Android</v>
      </c>
      <c r="L630" s="13">
        <v>8597</v>
      </c>
      <c r="M630" s="13">
        <v>9132</v>
      </c>
      <c r="N630" s="13">
        <v>210</v>
      </c>
      <c r="O630" s="15"/>
      <c r="P630" s="6">
        <v>40547.582106481481</v>
      </c>
      <c r="Q630" s="16" t="s">
        <v>2242</v>
      </c>
      <c r="R630" s="17" t="s">
        <v>2243</v>
      </c>
      <c r="S630" s="12"/>
      <c r="T630" s="12"/>
      <c r="U630" s="10" t="str">
        <f>HYPERLINK("https://pbs.twimg.com/profile_images/1069531664152449024/86eo3KY3.jpg","View")</f>
        <v>View</v>
      </c>
    </row>
    <row r="631" spans="1:21" ht="30.6">
      <c r="A631" s="6">
        <v>43440.501851851848</v>
      </c>
      <c r="B631" s="7" t="str">
        <f>HYPERLINK("https://twitter.com/pedroperea1","@pedroperea1")</f>
        <v>@pedroperea1</v>
      </c>
      <c r="C631" s="8" t="s">
        <v>2329</v>
      </c>
      <c r="D631" s="9" t="s">
        <v>2330</v>
      </c>
      <c r="E631" s="10" t="str">
        <f>HYPERLINK("https://twitter.com/pedroperea1/status/1070634622999019521","1070634622999019521")</f>
        <v>1070634622999019521</v>
      </c>
      <c r="F631" s="11" t="s">
        <v>2331</v>
      </c>
      <c r="G631" s="12"/>
      <c r="H631" s="12"/>
      <c r="I631" s="13">
        <v>0</v>
      </c>
      <c r="J631" s="13">
        <v>0</v>
      </c>
      <c r="K631" s="14" t="str">
        <f>HYPERLINK("http://www.facebook.com/twitter","Facebook")</f>
        <v>Facebook</v>
      </c>
      <c r="L631" s="13">
        <v>70</v>
      </c>
      <c r="M631" s="13">
        <v>126</v>
      </c>
      <c r="N631" s="13">
        <v>1</v>
      </c>
      <c r="O631" s="15"/>
      <c r="P631" s="6">
        <v>40838.991435185184</v>
      </c>
      <c r="Q631" s="12"/>
      <c r="R631" s="20"/>
      <c r="S631" s="12"/>
      <c r="T631" s="12"/>
      <c r="U631" s="10" t="str">
        <f>HYPERLINK("https://pbs.twimg.com/profile_images/471309508741201920/3385xLE_.jpeg","View")</f>
        <v>View</v>
      </c>
    </row>
    <row r="632" spans="1:21" ht="61.2">
      <c r="A632" s="6">
        <v>43440.499444444446</v>
      </c>
      <c r="B632" s="7" t="str">
        <f>HYPERLINK("https://twitter.com/JSantanaMartine","@JSantanaMartine")</f>
        <v>@JSantanaMartine</v>
      </c>
      <c r="C632" s="8" t="s">
        <v>2332</v>
      </c>
      <c r="D632" s="9" t="s">
        <v>2333</v>
      </c>
      <c r="E632" s="10" t="str">
        <f>HYPERLINK("https://twitter.com/JSantanaMartine/status/1070633751498158082","1070633751498158082")</f>
        <v>1070633751498158082</v>
      </c>
      <c r="F632" s="12"/>
      <c r="G632" s="12"/>
      <c r="H632" s="12"/>
      <c r="I632" s="13">
        <v>0</v>
      </c>
      <c r="J632" s="13">
        <v>0</v>
      </c>
      <c r="K632" s="14" t="str">
        <f t="shared" ref="K632:K634" si="115">HYPERLINK("http://twitter.com/download/android","Twitter for Android")</f>
        <v>Twitter for Android</v>
      </c>
      <c r="L632" s="13">
        <v>27</v>
      </c>
      <c r="M632" s="13">
        <v>120</v>
      </c>
      <c r="N632" s="13">
        <v>0</v>
      </c>
      <c r="O632" s="15"/>
      <c r="P632" s="6">
        <v>41784.921817129631</v>
      </c>
      <c r="Q632" s="12"/>
      <c r="R632" s="17" t="s">
        <v>2334</v>
      </c>
      <c r="S632" s="12"/>
      <c r="T632" s="12"/>
      <c r="U632" s="10" t="str">
        <f>HYPERLINK("https://pbs.twimg.com/profile_images/771114578809917440/0MK5IVLn.jpg","View")</f>
        <v>View</v>
      </c>
    </row>
    <row r="633" spans="1:21" ht="20.399999999999999">
      <c r="A633" s="6">
        <v>43440.497349537036</v>
      </c>
      <c r="B633" s="7" t="str">
        <f>HYPERLINK("https://twitter.com/OscarFidalgoB","@OscarFidalgoB")</f>
        <v>@OscarFidalgoB</v>
      </c>
      <c r="C633" s="8" t="s">
        <v>2335</v>
      </c>
      <c r="D633" s="9" t="s">
        <v>2001</v>
      </c>
      <c r="E633" s="10" t="str">
        <f>HYPERLINK("https://twitter.com/OscarFidalgoB/status/1070632993155411969","1070632993155411969")</f>
        <v>1070632993155411969</v>
      </c>
      <c r="F633" s="11" t="s">
        <v>1389</v>
      </c>
      <c r="G633" s="12"/>
      <c r="H633" s="12"/>
      <c r="I633" s="13">
        <v>0</v>
      </c>
      <c r="J633" s="13">
        <v>0</v>
      </c>
      <c r="K633" s="14" t="str">
        <f t="shared" si="115"/>
        <v>Twitter for Android</v>
      </c>
      <c r="L633" s="13">
        <v>2287</v>
      </c>
      <c r="M633" s="13">
        <v>2138</v>
      </c>
      <c r="N633" s="13">
        <v>54</v>
      </c>
      <c r="O633" s="15"/>
      <c r="P633" s="6">
        <v>40717.799849537041</v>
      </c>
      <c r="Q633" s="16" t="s">
        <v>1463</v>
      </c>
      <c r="R633" s="17" t="s">
        <v>2336</v>
      </c>
      <c r="S633" s="11" t="s">
        <v>2337</v>
      </c>
      <c r="T633" s="12"/>
      <c r="U633" s="10" t="str">
        <f>HYPERLINK("https://pbs.twimg.com/profile_images/520133991836680192/p1IpynIj.jpeg","View")</f>
        <v>View</v>
      </c>
    </row>
    <row r="634" spans="1:21" ht="51">
      <c r="A634" s="6">
        <v>43440.495590277773</v>
      </c>
      <c r="B634" s="7" t="str">
        <f>HYPERLINK("https://twitter.com/gerardotc","@gerardotc")</f>
        <v>@gerardotc</v>
      </c>
      <c r="C634" s="8" t="s">
        <v>2338</v>
      </c>
      <c r="D634" s="9" t="s">
        <v>2339</v>
      </c>
      <c r="E634" s="10" t="str">
        <f>HYPERLINK("https://twitter.com/gerardotc/status/1070632353268187136","1070632353268187136")</f>
        <v>1070632353268187136</v>
      </c>
      <c r="F634" s="12"/>
      <c r="G634" s="12"/>
      <c r="H634" s="12"/>
      <c r="I634" s="13">
        <v>1202</v>
      </c>
      <c r="J634" s="13">
        <v>2620</v>
      </c>
      <c r="K634" s="14" t="str">
        <f t="shared" si="115"/>
        <v>Twitter for Android</v>
      </c>
      <c r="L634" s="13">
        <v>491880</v>
      </c>
      <c r="M634" s="13">
        <v>3449</v>
      </c>
      <c r="N634" s="13">
        <v>3504</v>
      </c>
      <c r="O634" s="15"/>
      <c r="P634" s="6">
        <v>39859.601030092592</v>
      </c>
      <c r="Q634" s="16" t="s">
        <v>1171</v>
      </c>
      <c r="R634" s="17" t="s">
        <v>2340</v>
      </c>
      <c r="S634" s="11" t="s">
        <v>2341</v>
      </c>
      <c r="T634" s="12"/>
      <c r="U634" s="10" t="str">
        <f>HYPERLINK("https://pbs.twimg.com/profile_images/3723646189/33167eea63d6034108a11f83b1136bce.jpeg","View")</f>
        <v>View</v>
      </c>
    </row>
    <row r="635" spans="1:21" ht="30.6">
      <c r="A635" s="6">
        <v>43440.495347222226</v>
      </c>
      <c r="B635" s="7" t="str">
        <f>HYPERLINK("https://twitter.com/emily_habsburg","@emily_habsburg")</f>
        <v>@emily_habsburg</v>
      </c>
      <c r="C635" s="8" t="s">
        <v>2342</v>
      </c>
      <c r="D635" s="9" t="s">
        <v>2343</v>
      </c>
      <c r="E635" s="10" t="str">
        <f>HYPERLINK("https://twitter.com/emily_habsburg/status/1070632265749811200","1070632265749811200")</f>
        <v>1070632265749811200</v>
      </c>
      <c r="F635" s="11" t="s">
        <v>2144</v>
      </c>
      <c r="G635" s="12"/>
      <c r="H635" s="12"/>
      <c r="I635" s="13">
        <v>0</v>
      </c>
      <c r="J635" s="13">
        <v>0</v>
      </c>
      <c r="K635" s="14" t="str">
        <f t="shared" ref="K635:K636" si="116">HYPERLINK("http://twitter.com/download/iphone","Twitter for iPhone")</f>
        <v>Twitter for iPhone</v>
      </c>
      <c r="L635" s="13">
        <v>5562</v>
      </c>
      <c r="M635" s="13">
        <v>1949</v>
      </c>
      <c r="N635" s="13">
        <v>54</v>
      </c>
      <c r="O635" s="15"/>
      <c r="P635" s="6">
        <v>40615.929212962961</v>
      </c>
      <c r="Q635" s="16" t="s">
        <v>2344</v>
      </c>
      <c r="R635" s="17" t="s">
        <v>2345</v>
      </c>
      <c r="S635" s="12"/>
      <c r="T635" s="12"/>
      <c r="U635" s="10" t="str">
        <f>HYPERLINK("https://pbs.twimg.com/profile_images/1070744362315862021/Iu-BCfgV.jpg","View")</f>
        <v>View</v>
      </c>
    </row>
    <row r="636" spans="1:21" ht="51">
      <c r="A636" s="6">
        <v>43440.493726851855</v>
      </c>
      <c r="B636" s="7" t="str">
        <f>HYPERLINK("https://twitter.com/mcduenas","@mcduenas")</f>
        <v>@mcduenas</v>
      </c>
      <c r="C636" s="8" t="s">
        <v>2346</v>
      </c>
      <c r="D636" s="9" t="s">
        <v>2347</v>
      </c>
      <c r="E636" s="10" t="str">
        <f>HYPERLINK("https://twitter.com/mcduenas/status/1070631678039810049","1070631678039810049")</f>
        <v>1070631678039810049</v>
      </c>
      <c r="F636" s="11" t="s">
        <v>1129</v>
      </c>
      <c r="G636" s="12"/>
      <c r="H636" s="12"/>
      <c r="I636" s="13">
        <v>5</v>
      </c>
      <c r="J636" s="13">
        <v>7</v>
      </c>
      <c r="K636" s="14" t="str">
        <f t="shared" si="116"/>
        <v>Twitter for iPhone</v>
      </c>
      <c r="L636" s="13">
        <v>3051</v>
      </c>
      <c r="M636" s="13">
        <v>988</v>
      </c>
      <c r="N636" s="13">
        <v>85</v>
      </c>
      <c r="O636" s="19" t="s">
        <v>44</v>
      </c>
      <c r="P636" s="6">
        <v>40646.655659722222</v>
      </c>
      <c r="Q636" s="16" t="s">
        <v>2348</v>
      </c>
      <c r="R636" s="17" t="s">
        <v>2349</v>
      </c>
      <c r="S636" s="11" t="s">
        <v>2350</v>
      </c>
      <c r="T636" s="12"/>
      <c r="U636" s="10" t="str">
        <f>HYPERLINK("https://pbs.twimg.com/profile_images/1002822207905632256/E9OLqCTZ.jpg","View")</f>
        <v>View</v>
      </c>
    </row>
    <row r="637" spans="1:21" ht="51">
      <c r="A637" s="6">
        <v>43440.491168981476</v>
      </c>
      <c r="B637" s="7" t="str">
        <f>HYPERLINK("https://twitter.com/Maria_Lirio_B","@Maria_Lirio_B")</f>
        <v>@Maria_Lirio_B</v>
      </c>
      <c r="C637" s="8" t="s">
        <v>2351</v>
      </c>
      <c r="D637" s="9" t="s">
        <v>2352</v>
      </c>
      <c r="E637" s="10" t="str">
        <f>HYPERLINK("https://twitter.com/Maria_Lirio_B/status/1070630752293924864","1070630752293924864")</f>
        <v>1070630752293924864</v>
      </c>
      <c r="F637" s="12"/>
      <c r="G637" s="12"/>
      <c r="H637" s="12"/>
      <c r="I637" s="13">
        <v>0</v>
      </c>
      <c r="J637" s="13">
        <v>0</v>
      </c>
      <c r="K637" s="14" t="str">
        <f>HYPERLINK("http://twitter.com/download/android","Twitter for Android")</f>
        <v>Twitter for Android</v>
      </c>
      <c r="L637" s="13">
        <v>169</v>
      </c>
      <c r="M637" s="13">
        <v>360</v>
      </c>
      <c r="N637" s="13">
        <v>3</v>
      </c>
      <c r="O637" s="15"/>
      <c r="P637" s="6">
        <v>40993.964687500003</v>
      </c>
      <c r="Q637" s="12"/>
      <c r="R637" s="20"/>
      <c r="S637" s="12"/>
      <c r="T637" s="12"/>
      <c r="U637" s="10" t="str">
        <f>HYPERLINK("https://pbs.twimg.com/profile_images/1040134788676558848/ApCtjiY3.jpg","View")</f>
        <v>View</v>
      </c>
    </row>
    <row r="638" spans="1:21" ht="51">
      <c r="A638" s="6">
        <v>43440.490914351853</v>
      </c>
      <c r="B638" s="7" t="str">
        <f>HYPERLINK("https://twitter.com/24h_tve","@24h_tve")</f>
        <v>@24h_tve</v>
      </c>
      <c r="C638" s="8" t="s">
        <v>2353</v>
      </c>
      <c r="D638" s="9" t="s">
        <v>2354</v>
      </c>
      <c r="E638" s="10" t="str">
        <f>HYPERLINK("https://twitter.com/24h_tve/status/1070630659180249090","1070630659180249090")</f>
        <v>1070630659180249090</v>
      </c>
      <c r="F638" s="12"/>
      <c r="G638" s="11" t="s">
        <v>2355</v>
      </c>
      <c r="H638" s="12"/>
      <c r="I638" s="13">
        <v>8</v>
      </c>
      <c r="J638" s="13">
        <v>9</v>
      </c>
      <c r="K638" s="14" t="str">
        <f>HYPERLINK("http://snappytv.com","SnappyTV.com")</f>
        <v>SnappyTV.com</v>
      </c>
      <c r="L638" s="13">
        <v>1297300</v>
      </c>
      <c r="M638" s="13">
        <v>715</v>
      </c>
      <c r="N638" s="13">
        <v>7942</v>
      </c>
      <c r="O638" s="19" t="s">
        <v>44</v>
      </c>
      <c r="P638" s="6">
        <v>39944.898831018516</v>
      </c>
      <c r="Q638" s="12"/>
      <c r="R638" s="17" t="s">
        <v>2356</v>
      </c>
      <c r="S638" s="11" t="s">
        <v>2357</v>
      </c>
      <c r="T638" s="12"/>
      <c r="U638" s="10" t="str">
        <f>HYPERLINK("https://pbs.twimg.com/profile_images/1053217770387791872/fYDDQc0x.jpg","View")</f>
        <v>View</v>
      </c>
    </row>
    <row r="639" spans="1:21" ht="40.799999999999997">
      <c r="A639" s="6">
        <v>43440.490694444445</v>
      </c>
      <c r="B639" s="7" t="str">
        <f>HYPERLINK("https://twitter.com/NievesJemezB","@NievesJemezB")</f>
        <v>@NievesJemezB</v>
      </c>
      <c r="C639" s="8" t="s">
        <v>2358</v>
      </c>
      <c r="D639" s="9" t="s">
        <v>2359</v>
      </c>
      <c r="E639" s="10" t="str">
        <f>HYPERLINK("https://twitter.com/NievesJemezB/status/1070630580788871170","1070630580788871170")</f>
        <v>1070630580788871170</v>
      </c>
      <c r="F639" s="12"/>
      <c r="G639" s="12"/>
      <c r="H639" s="12"/>
      <c r="I639" s="13">
        <v>0</v>
      </c>
      <c r="J639" s="13">
        <v>0</v>
      </c>
      <c r="K639" s="14" t="str">
        <f>HYPERLINK("http://twitter.com","Twitter Web Client")</f>
        <v>Twitter Web Client</v>
      </c>
      <c r="L639" s="13">
        <v>1476</v>
      </c>
      <c r="M639" s="13">
        <v>1430</v>
      </c>
      <c r="N639" s="13">
        <v>40</v>
      </c>
      <c r="O639" s="15"/>
      <c r="P639" s="6">
        <v>41331.81621527778</v>
      </c>
      <c r="Q639" s="16" t="s">
        <v>2360</v>
      </c>
      <c r="R639" s="17" t="s">
        <v>2361</v>
      </c>
      <c r="S639" s="11" t="s">
        <v>2362</v>
      </c>
      <c r="T639" s="12"/>
      <c r="U639" s="10" t="str">
        <f>HYPERLINK("https://pbs.twimg.com/profile_images/991727206668931072/FYArZrk1.jpg","View")</f>
        <v>View</v>
      </c>
    </row>
    <row r="640" spans="1:21" ht="40.799999999999997">
      <c r="A640" s="6">
        <v>43440.489594907413</v>
      </c>
      <c r="B640" s="7" t="str">
        <f>HYPERLINK("https://twitter.com/larazon_es","@larazon_es")</f>
        <v>@larazon_es</v>
      </c>
      <c r="C640" s="8" t="s">
        <v>178</v>
      </c>
      <c r="D640" s="9" t="s">
        <v>1385</v>
      </c>
      <c r="E640" s="10" t="str">
        <f>HYPERLINK("https://twitter.com/larazon_es/status/1070630180677406720","1070630180677406720")</f>
        <v>1070630180677406720</v>
      </c>
      <c r="F640" s="11" t="s">
        <v>2363</v>
      </c>
      <c r="G640" s="11" t="s">
        <v>2364</v>
      </c>
      <c r="H640" s="12"/>
      <c r="I640" s="13">
        <v>3</v>
      </c>
      <c r="J640" s="13">
        <v>13</v>
      </c>
      <c r="K640" s="14" t="str">
        <f>HYPERLINK("http://dogtrack.es","DogTrack_Oficial")</f>
        <v>DogTrack_Oficial</v>
      </c>
      <c r="L640" s="13">
        <v>442246</v>
      </c>
      <c r="M640" s="13">
        <v>2961</v>
      </c>
      <c r="N640" s="13">
        <v>6162</v>
      </c>
      <c r="O640" s="19" t="s">
        <v>44</v>
      </c>
      <c r="P640" s="6">
        <v>40218.530092592591</v>
      </c>
      <c r="Q640" s="16" t="s">
        <v>48</v>
      </c>
      <c r="R640" s="17" t="s">
        <v>181</v>
      </c>
      <c r="S640" s="11" t="s">
        <v>183</v>
      </c>
      <c r="T640" s="12"/>
      <c r="U640" s="10" t="str">
        <f>HYPERLINK("https://pbs.twimg.com/profile_images/1038331271108341762/TPuwz6wc.jpg","View")</f>
        <v>View</v>
      </c>
    </row>
    <row r="641" spans="1:21" ht="30.6">
      <c r="A641" s="6">
        <v>43440.488298611112</v>
      </c>
      <c r="B641" s="7" t="str">
        <f>HYPERLINK("https://twitter.com/AlvaroTorresLo","@AlvaroTorresLo")</f>
        <v>@AlvaroTorresLo</v>
      </c>
      <c r="C641" s="8" t="s">
        <v>2365</v>
      </c>
      <c r="D641" s="9" t="s">
        <v>2366</v>
      </c>
      <c r="E641" s="10" t="str">
        <f>HYPERLINK("https://twitter.com/AlvaroTorresLo/status/1070629713197051905","1070629713197051905")</f>
        <v>1070629713197051905</v>
      </c>
      <c r="F641" s="12"/>
      <c r="G641" s="12"/>
      <c r="H641" s="12"/>
      <c r="I641" s="13">
        <v>0</v>
      </c>
      <c r="J641" s="13">
        <v>1</v>
      </c>
      <c r="K641" s="14" t="str">
        <f t="shared" ref="K641:K642" si="117">HYPERLINK("http://twitter.com/download/android","Twitter for Android")</f>
        <v>Twitter for Android</v>
      </c>
      <c r="L641" s="13">
        <v>534</v>
      </c>
      <c r="M641" s="13">
        <v>437</v>
      </c>
      <c r="N641" s="13">
        <v>4</v>
      </c>
      <c r="O641" s="15"/>
      <c r="P641" s="6">
        <v>40995.669212962966</v>
      </c>
      <c r="Q641" s="16" t="s">
        <v>2367</v>
      </c>
      <c r="R641" s="17" t="s">
        <v>2368</v>
      </c>
      <c r="S641" s="12"/>
      <c r="T641" s="12"/>
      <c r="U641" s="10" t="str">
        <f>HYPERLINK("https://pbs.twimg.com/profile_images/1038097017631854592/PGc6uoa1.jpg","View")</f>
        <v>View</v>
      </c>
    </row>
    <row r="642" spans="1:21" ht="20.399999999999999">
      <c r="A642" s="6">
        <v>43440.487951388888</v>
      </c>
      <c r="B642" s="7" t="str">
        <f>HYPERLINK("https://twitter.com/_happysnail","@_happysnail")</f>
        <v>@_happysnail</v>
      </c>
      <c r="C642" s="8" t="s">
        <v>2369</v>
      </c>
      <c r="D642" s="9" t="s">
        <v>2370</v>
      </c>
      <c r="E642" s="10" t="str">
        <f>HYPERLINK("https://twitter.com/_happysnail/status/1070629586931716101","1070629586931716101")</f>
        <v>1070629586931716101</v>
      </c>
      <c r="F642" s="12"/>
      <c r="G642" s="12"/>
      <c r="H642" s="12"/>
      <c r="I642" s="13">
        <v>0</v>
      </c>
      <c r="J642" s="13">
        <v>0</v>
      </c>
      <c r="K642" s="14" t="str">
        <f t="shared" si="117"/>
        <v>Twitter for Android</v>
      </c>
      <c r="L642" s="13">
        <v>43</v>
      </c>
      <c r="M642" s="13">
        <v>47</v>
      </c>
      <c r="N642" s="13">
        <v>2</v>
      </c>
      <c r="O642" s="15"/>
      <c r="P642" s="6">
        <v>41728.660567129627</v>
      </c>
      <c r="Q642" s="12"/>
      <c r="R642" s="20"/>
      <c r="S642" s="12"/>
      <c r="T642" s="12"/>
      <c r="U642" s="10" t="str">
        <f>HYPERLINK("https://pbs.twimg.com/profile_images/1009950196908937217/jLj9JNoT.jpg","View")</f>
        <v>View</v>
      </c>
    </row>
    <row r="643" spans="1:21" ht="51">
      <c r="A643" s="6">
        <v>43440.487905092596</v>
      </c>
      <c r="B643" s="7" t="str">
        <f>HYPERLINK("https://twitter.com/24h_tve","@24h_tve")</f>
        <v>@24h_tve</v>
      </c>
      <c r="C643" s="8" t="s">
        <v>2353</v>
      </c>
      <c r="D643" s="9" t="s">
        <v>2371</v>
      </c>
      <c r="E643" s="10" t="str">
        <f>HYPERLINK("https://twitter.com/24h_tve/status/1070629568535388160","1070629568535388160")</f>
        <v>1070629568535388160</v>
      </c>
      <c r="F643" s="11" t="s">
        <v>2357</v>
      </c>
      <c r="G643" s="11" t="s">
        <v>2372</v>
      </c>
      <c r="H643" s="12"/>
      <c r="I643" s="13">
        <v>8</v>
      </c>
      <c r="J643" s="13">
        <v>14</v>
      </c>
      <c r="K643" s="14" t="str">
        <f>HYPERLINK("http://snappytv.com","SnappyTV.com")</f>
        <v>SnappyTV.com</v>
      </c>
      <c r="L643" s="13">
        <v>1297300</v>
      </c>
      <c r="M643" s="13">
        <v>715</v>
      </c>
      <c r="N643" s="13">
        <v>7942</v>
      </c>
      <c r="O643" s="19" t="s">
        <v>44</v>
      </c>
      <c r="P643" s="6">
        <v>39944.898831018516</v>
      </c>
      <c r="Q643" s="12"/>
      <c r="R643" s="17" t="s">
        <v>2356</v>
      </c>
      <c r="S643" s="11" t="s">
        <v>2357</v>
      </c>
      <c r="T643" s="12"/>
      <c r="U643" s="10" t="str">
        <f>HYPERLINK("https://pbs.twimg.com/profile_images/1053217770387791872/fYDDQc0x.jpg","View")</f>
        <v>View</v>
      </c>
    </row>
    <row r="644" spans="1:21" ht="40.799999999999997">
      <c r="A644" s="6">
        <v>43440.487187499995</v>
      </c>
      <c r="B644" s="7" t="str">
        <f>HYPERLINK("https://twitter.com/LilaLoto65","@LilaLoto65")</f>
        <v>@LilaLoto65</v>
      </c>
      <c r="C644" s="8" t="s">
        <v>2373</v>
      </c>
      <c r="D644" s="9" t="s">
        <v>2374</v>
      </c>
      <c r="E644" s="10" t="str">
        <f>HYPERLINK("https://twitter.com/LilaLoto65/status/1070629311386914816","1070629311386914816")</f>
        <v>1070629311386914816</v>
      </c>
      <c r="F644" s="12"/>
      <c r="G644" s="11" t="s">
        <v>2375</v>
      </c>
      <c r="H644" s="12"/>
      <c r="I644" s="13">
        <v>1</v>
      </c>
      <c r="J644" s="13">
        <v>5</v>
      </c>
      <c r="K644" s="14" t="str">
        <f>HYPERLINK("http://twitter.com/download/iphone","Twitter for iPhone")</f>
        <v>Twitter for iPhone</v>
      </c>
      <c r="L644" s="13">
        <v>3040</v>
      </c>
      <c r="M644" s="13">
        <v>532</v>
      </c>
      <c r="N644" s="13">
        <v>49</v>
      </c>
      <c r="O644" s="15"/>
      <c r="P644" s="6">
        <v>41512.845439814817</v>
      </c>
      <c r="Q644" s="16" t="s">
        <v>2376</v>
      </c>
      <c r="R644" s="17" t="s">
        <v>2377</v>
      </c>
      <c r="S644" s="12"/>
      <c r="T644" s="12"/>
      <c r="U644" s="10" t="str">
        <f>HYPERLINK("https://pbs.twimg.com/profile_images/1065796007810777088/5Vgf5CqO.jpg","View")</f>
        <v>View</v>
      </c>
    </row>
    <row r="645" spans="1:21" ht="20.399999999999999">
      <c r="A645" s="6">
        <v>43440.486782407403</v>
      </c>
      <c r="B645" s="7" t="str">
        <f>HYPERLINK("https://twitter.com/CHFerreiro","@CHFerreiro")</f>
        <v>@CHFerreiro</v>
      </c>
      <c r="C645" s="8" t="s">
        <v>2378</v>
      </c>
      <c r="D645" s="9" t="s">
        <v>2379</v>
      </c>
      <c r="E645" s="10" t="str">
        <f>HYPERLINK("https://twitter.com/CHFerreiro/status/1070629163315412992","1070629163315412992")</f>
        <v>1070629163315412992</v>
      </c>
      <c r="F645" s="12"/>
      <c r="G645" s="12"/>
      <c r="H645" s="12"/>
      <c r="I645" s="13">
        <v>1</v>
      </c>
      <c r="J645" s="13">
        <v>0</v>
      </c>
      <c r="K645" s="14" t="str">
        <f>HYPERLINK("http://twitter.com/download/android","Twitter for Android")</f>
        <v>Twitter for Android</v>
      </c>
      <c r="L645" s="13">
        <v>478</v>
      </c>
      <c r="M645" s="13">
        <v>600</v>
      </c>
      <c r="N645" s="13">
        <v>7</v>
      </c>
      <c r="O645" s="15"/>
      <c r="P645" s="6">
        <v>40162.709282407406</v>
      </c>
      <c r="Q645" s="16" t="s">
        <v>2380</v>
      </c>
      <c r="R645" s="17" t="s">
        <v>2381</v>
      </c>
      <c r="S645" s="12"/>
      <c r="T645" s="12"/>
      <c r="U645" s="10" t="str">
        <f>HYPERLINK("https://pbs.twimg.com/profile_images/1063193714275819527/eBujUCQP.jpg","View")</f>
        <v>View</v>
      </c>
    </row>
    <row r="646" spans="1:21" ht="30.6">
      <c r="A646" s="6">
        <v>43440.486597222218</v>
      </c>
      <c r="B646" s="7" t="str">
        <f>HYPERLINK("https://twitter.com/delmarsergio","@delmarsergio")</f>
        <v>@delmarsergio</v>
      </c>
      <c r="C646" s="8" t="s">
        <v>2382</v>
      </c>
      <c r="D646" s="9" t="s">
        <v>2383</v>
      </c>
      <c r="E646" s="10" t="str">
        <f>HYPERLINK("https://twitter.com/delmarsergio/status/1070629098119147520","1070629098119147520")</f>
        <v>1070629098119147520</v>
      </c>
      <c r="F646" s="12"/>
      <c r="G646" s="12"/>
      <c r="H646" s="12"/>
      <c r="I646" s="13">
        <v>0</v>
      </c>
      <c r="J646" s="13">
        <v>0</v>
      </c>
      <c r="K646" s="14" t="str">
        <f>HYPERLINK("http://twitter.com","Twitter Web Client")</f>
        <v>Twitter Web Client</v>
      </c>
      <c r="L646" s="13">
        <v>472</v>
      </c>
      <c r="M646" s="13">
        <v>547</v>
      </c>
      <c r="N646" s="13">
        <v>2</v>
      </c>
      <c r="O646" s="15"/>
      <c r="P646" s="6">
        <v>42668.719942129625</v>
      </c>
      <c r="Q646" s="16" t="s">
        <v>882</v>
      </c>
      <c r="R646" s="17" t="s">
        <v>2384</v>
      </c>
      <c r="S646" s="12"/>
      <c r="T646" s="12"/>
      <c r="U646" s="10" t="str">
        <f>HYPERLINK("https://pbs.twimg.com/profile_images/1010499027450892288/_7NoolBM.jpg","View")</f>
        <v>View</v>
      </c>
    </row>
    <row r="647" spans="1:21" ht="51">
      <c r="A647" s="6">
        <v>43440.48646990741</v>
      </c>
      <c r="B647" s="7" t="str">
        <f>HYPERLINK("https://twitter.com/girlwhoLovegood","@girlwhoLovegood")</f>
        <v>@girlwhoLovegood</v>
      </c>
      <c r="C647" s="8" t="s">
        <v>2385</v>
      </c>
      <c r="D647" s="9" t="s">
        <v>2386</v>
      </c>
      <c r="E647" s="10" t="str">
        <f>HYPERLINK("https://twitter.com/girlwhoLovegood/status/1070629050115338241","1070629050115338241")</f>
        <v>1070629050115338241</v>
      </c>
      <c r="F647" s="12"/>
      <c r="G647" s="12"/>
      <c r="H647" s="12"/>
      <c r="I647" s="13">
        <v>0</v>
      </c>
      <c r="J647" s="13">
        <v>0</v>
      </c>
      <c r="K647" s="14" t="str">
        <f>HYPERLINK("http://twitter.com/download/android","Twitter for Android")</f>
        <v>Twitter for Android</v>
      </c>
      <c r="L647" s="13">
        <v>218</v>
      </c>
      <c r="M647" s="13">
        <v>699</v>
      </c>
      <c r="N647" s="13">
        <v>7</v>
      </c>
      <c r="O647" s="15"/>
      <c r="P647" s="6">
        <v>41462.550752314812</v>
      </c>
      <c r="Q647" s="16" t="s">
        <v>2387</v>
      </c>
      <c r="R647" s="17" t="s">
        <v>2388</v>
      </c>
      <c r="S647" s="12"/>
      <c r="T647" s="12"/>
      <c r="U647" s="10" t="str">
        <f>HYPERLINK("https://pbs.twimg.com/profile_images/972647734204358658/Hb3oZoD0.jpg","View")</f>
        <v>View</v>
      </c>
    </row>
    <row r="648" spans="1:21" ht="51">
      <c r="A648" s="6">
        <v>43440.485983796301</v>
      </c>
      <c r="B648" s="7" t="str">
        <f>HYPERLINK("https://twitter.com/24h_tve","@24h_tve")</f>
        <v>@24h_tve</v>
      </c>
      <c r="C648" s="8" t="s">
        <v>2353</v>
      </c>
      <c r="D648" s="9" t="s">
        <v>2389</v>
      </c>
      <c r="E648" s="10" t="str">
        <f>HYPERLINK("https://twitter.com/24h_tve/status/1070628872515809281","1070628872515809281")</f>
        <v>1070628872515809281</v>
      </c>
      <c r="F648" s="12"/>
      <c r="G648" s="11" t="s">
        <v>597</v>
      </c>
      <c r="H648" s="12"/>
      <c r="I648" s="13">
        <v>15</v>
      </c>
      <c r="J648" s="13">
        <v>18</v>
      </c>
      <c r="K648" s="14" t="str">
        <f>HYPERLINK("http://snappytv.com","SnappyTV.com")</f>
        <v>SnappyTV.com</v>
      </c>
      <c r="L648" s="13">
        <v>1297300</v>
      </c>
      <c r="M648" s="13">
        <v>715</v>
      </c>
      <c r="N648" s="13">
        <v>7942</v>
      </c>
      <c r="O648" s="19" t="s">
        <v>44</v>
      </c>
      <c r="P648" s="6">
        <v>39944.898831018516</v>
      </c>
      <c r="Q648" s="12"/>
      <c r="R648" s="17" t="s">
        <v>2356</v>
      </c>
      <c r="S648" s="11" t="s">
        <v>2357</v>
      </c>
      <c r="T648" s="12"/>
      <c r="U648" s="10" t="str">
        <f>HYPERLINK("https://pbs.twimg.com/profile_images/1053217770387791872/fYDDQc0x.jpg","View")</f>
        <v>View</v>
      </c>
    </row>
    <row r="649" spans="1:21" ht="51">
      <c r="A649" s="6">
        <v>43440.485879629632</v>
      </c>
      <c r="B649" s="7" t="str">
        <f>HYPERLINK("https://twitter.com/monteolivetanus","@monteolivetanus")</f>
        <v>@monteolivetanus</v>
      </c>
      <c r="C649" s="8" t="s">
        <v>2390</v>
      </c>
      <c r="D649" s="9" t="s">
        <v>2391</v>
      </c>
      <c r="E649" s="10" t="str">
        <f>HYPERLINK("https://twitter.com/monteolivetanus/status/1070628837778747395","1070628837778747395")</f>
        <v>1070628837778747395</v>
      </c>
      <c r="F649" s="12"/>
      <c r="G649" s="12"/>
      <c r="H649" s="12"/>
      <c r="I649" s="13">
        <v>0</v>
      </c>
      <c r="J649" s="13">
        <v>2</v>
      </c>
      <c r="K649" s="14" t="str">
        <f t="shared" ref="K649:K650" si="118">HYPERLINK("http://twitter.com/download/android","Twitter for Android")</f>
        <v>Twitter for Android</v>
      </c>
      <c r="L649" s="13">
        <v>1938</v>
      </c>
      <c r="M649" s="13">
        <v>2296</v>
      </c>
      <c r="N649" s="13">
        <v>55</v>
      </c>
      <c r="O649" s="15"/>
      <c r="P649" s="6">
        <v>41121.752291666664</v>
      </c>
      <c r="Q649" s="16" t="s">
        <v>145</v>
      </c>
      <c r="R649" s="17" t="s">
        <v>2392</v>
      </c>
      <c r="S649" s="12"/>
      <c r="T649" s="12"/>
      <c r="U649" s="10" t="str">
        <f>HYPERLINK("https://pbs.twimg.com/profile_images/1016402750836494338/mwsl4ctJ.jpg","View")</f>
        <v>View</v>
      </c>
    </row>
    <row r="650" spans="1:21" ht="61.2">
      <c r="A650" s="6">
        <v>43440.485347222224</v>
      </c>
      <c r="B650" s="7" t="str">
        <f>HYPERLINK("https://twitter.com/And89_3","@And89_3")</f>
        <v>@And89_3</v>
      </c>
      <c r="C650" s="8" t="s">
        <v>2393</v>
      </c>
      <c r="D650" s="9" t="s">
        <v>2394</v>
      </c>
      <c r="E650" s="10" t="str">
        <f>HYPERLINK("https://twitter.com/And89_3/status/1070628643691466752","1070628643691466752")</f>
        <v>1070628643691466752</v>
      </c>
      <c r="F650" s="12"/>
      <c r="G650" s="12"/>
      <c r="H650" s="12"/>
      <c r="I650" s="13">
        <v>0</v>
      </c>
      <c r="J650" s="13">
        <v>1</v>
      </c>
      <c r="K650" s="14" t="str">
        <f t="shared" si="118"/>
        <v>Twitter for Android</v>
      </c>
      <c r="L650" s="13">
        <v>1019</v>
      </c>
      <c r="M650" s="13">
        <v>996</v>
      </c>
      <c r="N650" s="13">
        <v>3</v>
      </c>
      <c r="O650" s="15"/>
      <c r="P650" s="6">
        <v>40576.058587962965</v>
      </c>
      <c r="Q650" s="16" t="s">
        <v>30</v>
      </c>
      <c r="R650" s="17" t="s">
        <v>2395</v>
      </c>
      <c r="S650" s="12"/>
      <c r="T650" s="12"/>
      <c r="U650" s="10" t="str">
        <f>HYPERLINK("https://pbs.twimg.com/profile_images/980943987593883649/4iw9ufCm.jpg","View")</f>
        <v>View</v>
      </c>
    </row>
    <row r="651" spans="1:21" ht="20.399999999999999">
      <c r="A651" s="6">
        <v>43440.48436342593</v>
      </c>
      <c r="B651" s="7" t="str">
        <f>HYPERLINK("https://twitter.com/emiliorduna","@emiliorduna")</f>
        <v>@emiliorduna</v>
      </c>
      <c r="C651" s="8" t="s">
        <v>2396</v>
      </c>
      <c r="D651" s="9" t="s">
        <v>2397</v>
      </c>
      <c r="E651" s="10" t="str">
        <f>HYPERLINK("https://twitter.com/emiliorduna/status/1070628288501084160","1070628288501084160")</f>
        <v>1070628288501084160</v>
      </c>
      <c r="F651" s="12"/>
      <c r="G651" s="12"/>
      <c r="H651" s="12"/>
      <c r="I651" s="13">
        <v>0</v>
      </c>
      <c r="J651" s="13">
        <v>0</v>
      </c>
      <c r="K651" s="14" t="str">
        <f>HYPERLINK("http://twitter.com/download/iphone","Twitter for iPhone")</f>
        <v>Twitter for iPhone</v>
      </c>
      <c r="L651" s="13">
        <v>51</v>
      </c>
      <c r="M651" s="13">
        <v>404</v>
      </c>
      <c r="N651" s="13">
        <v>0</v>
      </c>
      <c r="O651" s="15"/>
      <c r="P651" s="6">
        <v>41204.972511574073</v>
      </c>
      <c r="Q651" s="16" t="s">
        <v>191</v>
      </c>
      <c r="R651" s="17" t="s">
        <v>2398</v>
      </c>
      <c r="S651" s="12"/>
      <c r="T651" s="12"/>
      <c r="U651" s="10" t="str">
        <f>HYPERLINK("https://pbs.twimg.com/profile_images/2752017206/4161a2f455d777ff8bc6a50af991113c.png","View")</f>
        <v>View</v>
      </c>
    </row>
    <row r="652" spans="1:21" ht="30.6">
      <c r="A652" s="6">
        <v>43440.484074074076</v>
      </c>
      <c r="B652" s="7" t="str">
        <f>HYPERLINK("https://twitter.com/Alebarfou","@Alebarfou")</f>
        <v>@Alebarfou</v>
      </c>
      <c r="C652" s="8" t="s">
        <v>2399</v>
      </c>
      <c r="D652" s="9" t="s">
        <v>2400</v>
      </c>
      <c r="E652" s="10" t="str">
        <f>HYPERLINK("https://twitter.com/Alebarfou/status/1070628182510964736","1070628182510964736")</f>
        <v>1070628182510964736</v>
      </c>
      <c r="F652" s="12"/>
      <c r="G652" s="12"/>
      <c r="H652" s="12"/>
      <c r="I652" s="13">
        <v>0</v>
      </c>
      <c r="J652" s="13">
        <v>0</v>
      </c>
      <c r="K652" s="14" t="str">
        <f>HYPERLINK("http://twitter.com/download/android","Twitter for Android")</f>
        <v>Twitter for Android</v>
      </c>
      <c r="L652" s="13">
        <v>509</v>
      </c>
      <c r="M652" s="13">
        <v>334</v>
      </c>
      <c r="N652" s="13">
        <v>4</v>
      </c>
      <c r="O652" s="15"/>
      <c r="P652" s="6">
        <v>41510.851053240738</v>
      </c>
      <c r="Q652" s="16" t="s">
        <v>2401</v>
      </c>
      <c r="R652" s="17" t="s">
        <v>2402</v>
      </c>
      <c r="S652" s="11" t="s">
        <v>2403</v>
      </c>
      <c r="T652" s="12"/>
      <c r="U652" s="10" t="str">
        <f>HYPERLINK("https://pbs.twimg.com/profile_images/1061996102185041921/KNapoPT1.jpg","View")</f>
        <v>View</v>
      </c>
    </row>
    <row r="653" spans="1:21" ht="40.799999999999997">
      <c r="A653" s="6">
        <v>43440.483831018515</v>
      </c>
      <c r="B653" s="7" t="str">
        <f>HYPERLINK("https://twitter.com/Dalek_fan","@Dalek_fan")</f>
        <v>@Dalek_fan</v>
      </c>
      <c r="C653" s="8" t="s">
        <v>2404</v>
      </c>
      <c r="D653" s="9" t="s">
        <v>2405</v>
      </c>
      <c r="E653" s="10" t="str">
        <f>HYPERLINK("https://twitter.com/Dalek_fan/status/1070628092354420736","1070628092354420736")</f>
        <v>1070628092354420736</v>
      </c>
      <c r="F653" s="12"/>
      <c r="G653" s="12"/>
      <c r="H653" s="12"/>
      <c r="I653" s="13">
        <v>0</v>
      </c>
      <c r="J653" s="13">
        <v>2</v>
      </c>
      <c r="K653" s="14" t="str">
        <f t="shared" ref="K653:K655" si="119">HYPERLINK("http://twitter.com","Twitter Web Client")</f>
        <v>Twitter Web Client</v>
      </c>
      <c r="L653" s="13">
        <v>2010</v>
      </c>
      <c r="M653" s="13">
        <v>3164</v>
      </c>
      <c r="N653" s="13">
        <v>152</v>
      </c>
      <c r="O653" s="15"/>
      <c r="P653" s="6">
        <v>40669.604872685188</v>
      </c>
      <c r="Q653" s="16" t="s">
        <v>2406</v>
      </c>
      <c r="R653" s="17" t="s">
        <v>2407</v>
      </c>
      <c r="S653" s="12"/>
      <c r="T653" s="12"/>
      <c r="U653" s="10" t="str">
        <f>HYPERLINK("https://pbs.twimg.com/profile_images/998893423993147392/UwN-bspo.jpg","View")</f>
        <v>View</v>
      </c>
    </row>
    <row r="654" spans="1:21" ht="30.6">
      <c r="A654" s="6">
        <v>43440.483032407406</v>
      </c>
      <c r="B654" s="7" t="str">
        <f>HYPERLINK("https://twitter.com/B_ca_es_eu","@B_ca_es_eu")</f>
        <v>@B_ca_es_eu</v>
      </c>
      <c r="C654" s="8" t="s">
        <v>2408</v>
      </c>
      <c r="D654" s="9" t="s">
        <v>2409</v>
      </c>
      <c r="E654" s="10" t="str">
        <f>HYPERLINK("https://twitter.com/B_ca_es_eu/status/1070627804604182529","1070627804604182529")</f>
        <v>1070627804604182529</v>
      </c>
      <c r="F654" s="12"/>
      <c r="G654" s="12"/>
      <c r="H654" s="12"/>
      <c r="I654" s="13">
        <v>0</v>
      </c>
      <c r="J654" s="13">
        <v>2</v>
      </c>
      <c r="K654" s="14" t="str">
        <f t="shared" si="119"/>
        <v>Twitter Web Client</v>
      </c>
      <c r="L654" s="13">
        <v>7598</v>
      </c>
      <c r="M654" s="13">
        <v>8076</v>
      </c>
      <c r="N654" s="13">
        <v>362</v>
      </c>
      <c r="O654" s="15"/>
      <c r="P654" s="6">
        <v>40917.536597222221</v>
      </c>
      <c r="Q654" s="16" t="s">
        <v>1049</v>
      </c>
      <c r="R654" s="17" t="s">
        <v>2410</v>
      </c>
      <c r="S654" s="12"/>
      <c r="T654" s="12"/>
      <c r="U654" s="10" t="str">
        <f>HYPERLINK("https://pbs.twimg.com/profile_images/1009399356099846145/EFwdZWCf.jpg","View")</f>
        <v>View</v>
      </c>
    </row>
    <row r="655" spans="1:21" ht="30.6">
      <c r="A655" s="6">
        <v>43440.480254629627</v>
      </c>
      <c r="B655" s="7" t="str">
        <f>HYPERLINK("https://twitter.com/Strambotic","@Strambotic")</f>
        <v>@Strambotic</v>
      </c>
      <c r="C655" s="8" t="s">
        <v>2411</v>
      </c>
      <c r="D655" s="9" t="s">
        <v>2412</v>
      </c>
      <c r="E655" s="10" t="str">
        <f>HYPERLINK("https://twitter.com/Strambotic/status/1070626799393087488","1070626799393087488")</f>
        <v>1070626799393087488</v>
      </c>
      <c r="F655" s="11" t="s">
        <v>1176</v>
      </c>
      <c r="G655" s="11" t="s">
        <v>2413</v>
      </c>
      <c r="H655" s="12"/>
      <c r="I655" s="13">
        <v>0</v>
      </c>
      <c r="J655" s="13">
        <v>1</v>
      </c>
      <c r="K655" s="14" t="str">
        <f t="shared" si="119"/>
        <v>Twitter Web Client</v>
      </c>
      <c r="L655" s="13">
        <v>37425</v>
      </c>
      <c r="M655" s="13">
        <v>41103</v>
      </c>
      <c r="N655" s="13">
        <v>540</v>
      </c>
      <c r="O655" s="15"/>
      <c r="P655" s="6">
        <v>39989.575706018521</v>
      </c>
      <c r="Q655" s="12"/>
      <c r="R655" s="17" t="s">
        <v>2414</v>
      </c>
      <c r="S655" s="11" t="s">
        <v>2415</v>
      </c>
      <c r="T655" s="12"/>
      <c r="U655" s="10" t="str">
        <f>HYPERLINK("https://pbs.twimg.com/profile_images/1057970348128378882/0i3KLUP-.jpg","View")</f>
        <v>View</v>
      </c>
    </row>
    <row r="656" spans="1:21" ht="61.2">
      <c r="A656" s="6">
        <v>43440.47934027778</v>
      </c>
      <c r="B656" s="7" t="str">
        <f>HYPERLINK("https://twitter.com/Fercondecristo","@Fercondecristo")</f>
        <v>@Fercondecristo</v>
      </c>
      <c r="C656" s="8" t="s">
        <v>2416</v>
      </c>
      <c r="D656" s="9" t="s">
        <v>2417</v>
      </c>
      <c r="E656" s="10" t="str">
        <f>HYPERLINK("https://twitter.com/Fercondecristo/status/1070626464423440384","1070626464423440384")</f>
        <v>1070626464423440384</v>
      </c>
      <c r="F656" s="16" t="s">
        <v>2418</v>
      </c>
      <c r="G656" s="12"/>
      <c r="H656" s="12"/>
      <c r="I656" s="13">
        <v>0</v>
      </c>
      <c r="J656" s="13">
        <v>0</v>
      </c>
      <c r="K656" s="14" t="str">
        <f>HYPERLINK("http://twitter.com/download/android","Twitter for Android")</f>
        <v>Twitter for Android</v>
      </c>
      <c r="L656" s="13">
        <v>655</v>
      </c>
      <c r="M656" s="13">
        <v>722</v>
      </c>
      <c r="N656" s="13">
        <v>7</v>
      </c>
      <c r="O656" s="15"/>
      <c r="P656" s="6">
        <v>40703.408020833333</v>
      </c>
      <c r="Q656" s="12"/>
      <c r="R656" s="17" t="s">
        <v>2419</v>
      </c>
      <c r="S656" s="12"/>
      <c r="T656" s="12"/>
      <c r="U656" s="10" t="str">
        <f>HYPERLINK("https://pbs.twimg.com/profile_images/794880421410521089/Nb1_kvu3.jpg","View")</f>
        <v>View</v>
      </c>
    </row>
    <row r="657" spans="1:21" ht="40.799999999999997">
      <c r="A657" s="6">
        <v>43440.478680555556</v>
      </c>
      <c r="B657" s="7" t="str">
        <f>HYPERLINK("https://twitter.com/SergioParra_","@SergioParra_")</f>
        <v>@SergioParra_</v>
      </c>
      <c r="C657" s="8" t="s">
        <v>2420</v>
      </c>
      <c r="D657" s="9" t="s">
        <v>1175</v>
      </c>
      <c r="E657" s="10" t="str">
        <f>HYPERLINK("https://twitter.com/SergioParra_/status/1070626225973014529","1070626225973014529")</f>
        <v>1070626225973014529</v>
      </c>
      <c r="F657" s="11" t="s">
        <v>2421</v>
      </c>
      <c r="G657" s="12"/>
      <c r="H657" s="12"/>
      <c r="I657" s="13">
        <v>0</v>
      </c>
      <c r="J657" s="13">
        <v>0</v>
      </c>
      <c r="K657" s="14" t="str">
        <f>HYPERLINK("https://ifttt.com","IFTTT")</f>
        <v>IFTTT</v>
      </c>
      <c r="L657" s="13">
        <v>5689</v>
      </c>
      <c r="M657" s="13">
        <v>1855</v>
      </c>
      <c r="N657" s="13">
        <v>307</v>
      </c>
      <c r="O657" s="15"/>
      <c r="P657" s="6">
        <v>40713.737453703703</v>
      </c>
      <c r="Q657" s="16" t="s">
        <v>1455</v>
      </c>
      <c r="R657" s="17" t="s">
        <v>2422</v>
      </c>
      <c r="S657" s="11" t="s">
        <v>2423</v>
      </c>
      <c r="T657" s="12"/>
      <c r="U657" s="10" t="str">
        <f>HYPERLINK("https://pbs.twimg.com/profile_images/725934103149711360/bevBlnwZ.jpg","View")</f>
        <v>View</v>
      </c>
    </row>
    <row r="658" spans="1:21" ht="30.6">
      <c r="A658" s="6">
        <v>43440.473912037036</v>
      </c>
      <c r="B658" s="7" t="str">
        <f>HYPERLINK("https://twitter.com/Juanmimargar","@Juanmimargar")</f>
        <v>@Juanmimargar</v>
      </c>
      <c r="C658" s="8" t="s">
        <v>2424</v>
      </c>
      <c r="D658" s="9" t="s">
        <v>2425</v>
      </c>
      <c r="E658" s="10" t="str">
        <f>HYPERLINK("https://twitter.com/Juanmimargar/status/1070624498087538688","1070624498087538688")</f>
        <v>1070624498087538688</v>
      </c>
      <c r="F658" s="11" t="s">
        <v>2426</v>
      </c>
      <c r="G658" s="12"/>
      <c r="H658" s="12"/>
      <c r="I658" s="13">
        <v>0</v>
      </c>
      <c r="J658" s="13">
        <v>0</v>
      </c>
      <c r="K658" s="14" t="str">
        <f>HYPERLINK("http://twitter.com/download/android","Twitter for Android")</f>
        <v>Twitter for Android</v>
      </c>
      <c r="L658" s="13">
        <v>34</v>
      </c>
      <c r="M658" s="13">
        <v>49</v>
      </c>
      <c r="N658" s="13">
        <v>0</v>
      </c>
      <c r="O658" s="15"/>
      <c r="P658" s="6">
        <v>41107.016655092593</v>
      </c>
      <c r="Q658" s="16" t="s">
        <v>209</v>
      </c>
      <c r="R658" s="17" t="s">
        <v>2427</v>
      </c>
      <c r="S658" s="12"/>
      <c r="T658" s="12"/>
      <c r="U658" s="10" t="str">
        <f>HYPERLINK("https://pbs.twimg.com/profile_images/470335396006862848/N8SakEzT.jpeg","View")</f>
        <v>View</v>
      </c>
    </row>
    <row r="659" spans="1:21" ht="51">
      <c r="A659" s="6">
        <v>43440.467152777783</v>
      </c>
      <c r="B659" s="7" t="str">
        <f>HYPERLINK("https://twitter.com/CarolinaDiazEsp","@CarolinaDiazEsp")</f>
        <v>@CarolinaDiazEsp</v>
      </c>
      <c r="C659" s="8" t="s">
        <v>2428</v>
      </c>
      <c r="D659" s="9" t="s">
        <v>2429</v>
      </c>
      <c r="E659" s="10" t="str">
        <f>HYPERLINK("https://twitter.com/CarolinaDiazEsp/status/1070622049993932800","1070622049993932800")</f>
        <v>1070622049993932800</v>
      </c>
      <c r="F659" s="12"/>
      <c r="G659" s="12"/>
      <c r="H659" s="12"/>
      <c r="I659" s="13">
        <v>4</v>
      </c>
      <c r="J659" s="13">
        <v>6</v>
      </c>
      <c r="K659" s="14" t="str">
        <f>HYPERLINK("http://twitter.com/download/iphone","Twitter for iPhone")</f>
        <v>Twitter for iPhone</v>
      </c>
      <c r="L659" s="13">
        <v>1355</v>
      </c>
      <c r="M659" s="13">
        <v>816</v>
      </c>
      <c r="N659" s="13">
        <v>98</v>
      </c>
      <c r="O659" s="15"/>
      <c r="P659" s="6">
        <v>40248.717083333337</v>
      </c>
      <c r="Q659" s="16" t="s">
        <v>2430</v>
      </c>
      <c r="R659" s="17" t="s">
        <v>2431</v>
      </c>
      <c r="S659" s="11" t="s">
        <v>2432</v>
      </c>
      <c r="T659" s="12"/>
      <c r="U659" s="10" t="str">
        <f>HYPERLINK("https://pbs.twimg.com/profile_images/378800000800978501/d11550a03092515b91d38baccd2c7006.jpeg","View")</f>
        <v>View</v>
      </c>
    </row>
    <row r="660" spans="1:21" ht="30.6">
      <c r="A660" s="6">
        <v>43440.464236111111</v>
      </c>
      <c r="B660" s="7" t="str">
        <f>HYPERLINK("https://twitter.com/carvalladolid","@carvalladolid")</f>
        <v>@carvalladolid</v>
      </c>
      <c r="C660" s="8" t="s">
        <v>2433</v>
      </c>
      <c r="D660" s="9" t="s">
        <v>2434</v>
      </c>
      <c r="E660" s="10" t="str">
        <f>HYPERLINK("https://twitter.com/carvalladolid/status/1070620994212192259","1070620994212192259")</f>
        <v>1070620994212192259</v>
      </c>
      <c r="F660" s="12"/>
      <c r="G660" s="12"/>
      <c r="H660" s="12"/>
      <c r="I660" s="13">
        <v>0</v>
      </c>
      <c r="J660" s="13">
        <v>2</v>
      </c>
      <c r="K660" s="14" t="str">
        <f>HYPERLINK("http://twitter.com","Twitter Web Client")</f>
        <v>Twitter Web Client</v>
      </c>
      <c r="L660" s="13">
        <v>31615</v>
      </c>
      <c r="M660" s="13">
        <v>616</v>
      </c>
      <c r="N660" s="13">
        <v>702</v>
      </c>
      <c r="O660" s="19" t="s">
        <v>44</v>
      </c>
      <c r="P660" s="6">
        <v>39986.729513888888</v>
      </c>
      <c r="Q660" s="16" t="s">
        <v>2435</v>
      </c>
      <c r="R660" s="17" t="s">
        <v>2436</v>
      </c>
      <c r="S660" s="11" t="s">
        <v>2437</v>
      </c>
      <c r="T660" s="12"/>
      <c r="U660" s="10" t="str">
        <f>HYPERLINK("https://pbs.twimg.com/profile_images/794644026280574976/8JIhWTfQ.jpg","View")</f>
        <v>View</v>
      </c>
    </row>
    <row r="661" spans="1:21" ht="51">
      <c r="A661" s="6">
        <v>43440.462152777778</v>
      </c>
      <c r="B661" s="7" t="str">
        <f>HYPERLINK("https://twitter.com/pablocasado_","@pablocasado_")</f>
        <v>@pablocasado_</v>
      </c>
      <c r="C661" s="8" t="s">
        <v>2438</v>
      </c>
      <c r="D661" s="9" t="s">
        <v>2439</v>
      </c>
      <c r="E661" s="10" t="str">
        <f>HYPERLINK("https://twitter.com/pablocasado_/status/1070620236758614017","1070620236758614017")</f>
        <v>1070620236758614017</v>
      </c>
      <c r="F661" s="11" t="s">
        <v>1129</v>
      </c>
      <c r="G661" s="12"/>
      <c r="H661" s="12"/>
      <c r="I661" s="13">
        <v>565</v>
      </c>
      <c r="J661" s="13">
        <v>1073</v>
      </c>
      <c r="K661" s="14" t="str">
        <f>HYPERLINK("http://twitter.com/#!/download/ipad","Twitter for iPad")</f>
        <v>Twitter for iPad</v>
      </c>
      <c r="L661" s="13">
        <v>178851</v>
      </c>
      <c r="M661" s="13">
        <v>3048</v>
      </c>
      <c r="N661" s="13">
        <v>1344</v>
      </c>
      <c r="O661" s="19" t="s">
        <v>44</v>
      </c>
      <c r="P661" s="6">
        <v>40981.701504629629</v>
      </c>
      <c r="Q661" s="12"/>
      <c r="R661" s="17" t="s">
        <v>2440</v>
      </c>
      <c r="S661" s="11" t="s">
        <v>233</v>
      </c>
      <c r="T661" s="12"/>
      <c r="U661" s="10" t="str">
        <f>HYPERLINK("https://pbs.twimg.com/profile_images/1042688743096893441/mvBmUcZ_.jpg","View")</f>
        <v>View</v>
      </c>
    </row>
    <row r="662" spans="1:21" ht="40.799999999999997">
      <c r="A662" s="6">
        <v>43440.459178240737</v>
      </c>
      <c r="B662" s="7" t="str">
        <f>HYPERLINK("https://twitter.com/ppcv","@ppcv")</f>
        <v>@ppcv</v>
      </c>
      <c r="C662" s="8" t="s">
        <v>2441</v>
      </c>
      <c r="D662" s="9" t="s">
        <v>2442</v>
      </c>
      <c r="E662" s="10" t="str">
        <f>HYPERLINK("https://twitter.com/ppcv/status/1070619159392849922","1070619159392849922")</f>
        <v>1070619159392849922</v>
      </c>
      <c r="F662" s="11" t="s">
        <v>1129</v>
      </c>
      <c r="G662" s="12"/>
      <c r="H662" s="12"/>
      <c r="I662" s="13">
        <v>25</v>
      </c>
      <c r="J662" s="13">
        <v>33</v>
      </c>
      <c r="K662" s="14" t="str">
        <f>HYPERLINK("http://twitter.com/download/iphone","Twitter for iPhone")</f>
        <v>Twitter for iPhone</v>
      </c>
      <c r="L662" s="13">
        <v>17966</v>
      </c>
      <c r="M662" s="13">
        <v>1172</v>
      </c>
      <c r="N662" s="13">
        <v>347</v>
      </c>
      <c r="O662" s="19" t="s">
        <v>44</v>
      </c>
      <c r="P662" s="6">
        <v>40018.533946759257</v>
      </c>
      <c r="Q662" s="16" t="s">
        <v>2443</v>
      </c>
      <c r="R662" s="17" t="s">
        <v>2444</v>
      </c>
      <c r="S662" s="11" t="s">
        <v>2445</v>
      </c>
      <c r="T662" s="12"/>
      <c r="U662" s="10" t="str">
        <f>HYPERLINK("https://pbs.twimg.com/profile_images/899542853394759681/9sU_Gbwv.jpg","View")</f>
        <v>View</v>
      </c>
    </row>
    <row r="663" spans="1:21" ht="30.6">
      <c r="A663" s="6">
        <v>43440.458310185189</v>
      </c>
      <c r="B663" s="7" t="str">
        <f>HYPERLINK("https://twitter.com/AFEM2012","@AFEM2012")</f>
        <v>@AFEM2012</v>
      </c>
      <c r="C663" s="8" t="s">
        <v>2446</v>
      </c>
      <c r="D663" s="9" t="s">
        <v>2447</v>
      </c>
      <c r="E663" s="10" t="str">
        <f>HYPERLINK("https://twitter.com/AFEM2012/status/1070618843918336000","1070618843918336000")</f>
        <v>1070618843918336000</v>
      </c>
      <c r="F663" s="11" t="s">
        <v>1389</v>
      </c>
      <c r="G663" s="12"/>
      <c r="H663" s="12"/>
      <c r="I663" s="13">
        <v>20</v>
      </c>
      <c r="J663" s="13">
        <v>6</v>
      </c>
      <c r="K663" s="14" t="str">
        <f t="shared" ref="K663:K664" si="120">HYPERLINK("http://twitter.com/download/android","Twitter for Android")</f>
        <v>Twitter for Android</v>
      </c>
      <c r="L663" s="13">
        <v>7803</v>
      </c>
      <c r="M663" s="13">
        <v>365</v>
      </c>
      <c r="N663" s="13">
        <v>172</v>
      </c>
      <c r="O663" s="15"/>
      <c r="P663" s="6">
        <v>41066.422361111108</v>
      </c>
      <c r="Q663" s="16" t="s">
        <v>191</v>
      </c>
      <c r="R663" s="17" t="s">
        <v>2448</v>
      </c>
      <c r="S663" s="11" t="s">
        <v>2449</v>
      </c>
      <c r="T663" s="12"/>
      <c r="U663" s="10" t="str">
        <f>HYPERLINK("https://pbs.twimg.com/profile_images/2381870902/F2F1E750-D465-4E25-A13D-D074E5EFF5E9","View")</f>
        <v>View</v>
      </c>
    </row>
    <row r="664" spans="1:21" ht="30.6">
      <c r="A664" s="6">
        <v>43440.455543981487</v>
      </c>
      <c r="B664" s="7" t="str">
        <f>HYPERLINK("https://twitter.com/ridermarina","@ridermarina")</f>
        <v>@ridermarina</v>
      </c>
      <c r="C664" s="8" t="s">
        <v>2240</v>
      </c>
      <c r="D664" s="9" t="s">
        <v>2450</v>
      </c>
      <c r="E664" s="10" t="str">
        <f>HYPERLINK("https://twitter.com/ridermarina/status/1070617844071759872","1070617844071759872")</f>
        <v>1070617844071759872</v>
      </c>
      <c r="F664" s="11" t="s">
        <v>2328</v>
      </c>
      <c r="G664" s="12"/>
      <c r="H664" s="12"/>
      <c r="I664" s="13">
        <v>5</v>
      </c>
      <c r="J664" s="13">
        <v>1</v>
      </c>
      <c r="K664" s="14" t="str">
        <f t="shared" si="120"/>
        <v>Twitter for Android</v>
      </c>
      <c r="L664" s="13">
        <v>8597</v>
      </c>
      <c r="M664" s="13">
        <v>9132</v>
      </c>
      <c r="N664" s="13">
        <v>210</v>
      </c>
      <c r="O664" s="15"/>
      <c r="P664" s="6">
        <v>40547.582106481481</v>
      </c>
      <c r="Q664" s="16" t="s">
        <v>2242</v>
      </c>
      <c r="R664" s="17" t="s">
        <v>2243</v>
      </c>
      <c r="S664" s="12"/>
      <c r="T664" s="12"/>
      <c r="U664" s="10" t="str">
        <f>HYPERLINK("https://pbs.twimg.com/profile_images/1069531664152449024/86eo3KY3.jpg","View")</f>
        <v>View</v>
      </c>
    </row>
    <row r="665" spans="1:21" ht="51">
      <c r="A665" s="6">
        <v>43440.452962962961</v>
      </c>
      <c r="B665" s="7" t="str">
        <f>HYPERLINK("https://twitter.com/elpunkdemon","@elpunkdemon")</f>
        <v>@elpunkdemon</v>
      </c>
      <c r="C665" s="8" t="s">
        <v>2451</v>
      </c>
      <c r="D665" s="9" t="s">
        <v>2452</v>
      </c>
      <c r="E665" s="10" t="str">
        <f>HYPERLINK("https://twitter.com/elpunkdemon/status/1070616905394855936","1070616905394855936")</f>
        <v>1070616905394855936</v>
      </c>
      <c r="F665" s="12"/>
      <c r="G665" s="12"/>
      <c r="H665" s="12"/>
      <c r="I665" s="13">
        <v>1</v>
      </c>
      <c r="J665" s="13">
        <v>1</v>
      </c>
      <c r="K665" s="14" t="str">
        <f>HYPERLINK("http://twitter.com","Twitter Web Client")</f>
        <v>Twitter Web Client</v>
      </c>
      <c r="L665" s="13">
        <v>1592</v>
      </c>
      <c r="M665" s="13">
        <v>1573</v>
      </c>
      <c r="N665" s="13">
        <v>45</v>
      </c>
      <c r="O665" s="15"/>
      <c r="P665" s="6">
        <v>40746.07545138889</v>
      </c>
      <c r="Q665" s="16" t="s">
        <v>2453</v>
      </c>
      <c r="R665" s="17" t="s">
        <v>2454</v>
      </c>
      <c r="S665" s="11" t="s">
        <v>2455</v>
      </c>
      <c r="T665" s="12"/>
      <c r="U665" s="10" t="str">
        <f>HYPERLINK("https://pbs.twimg.com/profile_images/581533125928423424/gDC6V4Zz.jpg","View")</f>
        <v>View</v>
      </c>
    </row>
    <row r="666" spans="1:21" ht="30.6">
      <c r="A666" s="6">
        <v>43440.45103009259</v>
      </c>
      <c r="B666" s="7" t="str">
        <f>HYPERLINK("https://twitter.com/ridermarina","@ridermarina")</f>
        <v>@ridermarina</v>
      </c>
      <c r="C666" s="8" t="s">
        <v>2240</v>
      </c>
      <c r="D666" s="9" t="s">
        <v>2456</v>
      </c>
      <c r="E666" s="10" t="str">
        <f>HYPERLINK("https://twitter.com/ridermarina/status/1070616205147467777","1070616205147467777")</f>
        <v>1070616205147467777</v>
      </c>
      <c r="F666" s="11" t="s">
        <v>1511</v>
      </c>
      <c r="G666" s="12"/>
      <c r="H666" s="12"/>
      <c r="I666" s="13">
        <v>1</v>
      </c>
      <c r="J666" s="13">
        <v>1</v>
      </c>
      <c r="K666" s="14" t="str">
        <f>HYPERLINK("http://twitter.com/download/android","Twitter for Android")</f>
        <v>Twitter for Android</v>
      </c>
      <c r="L666" s="13">
        <v>8597</v>
      </c>
      <c r="M666" s="13">
        <v>9132</v>
      </c>
      <c r="N666" s="13">
        <v>210</v>
      </c>
      <c r="O666" s="15"/>
      <c r="P666" s="6">
        <v>40547.582106481481</v>
      </c>
      <c r="Q666" s="16" t="s">
        <v>2242</v>
      </c>
      <c r="R666" s="17" t="s">
        <v>2243</v>
      </c>
      <c r="S666" s="12"/>
      <c r="T666" s="12"/>
      <c r="U666" s="10" t="str">
        <f>HYPERLINK("https://pbs.twimg.com/profile_images/1069531664152449024/86eo3KY3.jpg","View")</f>
        <v>View</v>
      </c>
    </row>
    <row r="667" spans="1:21" ht="40.799999999999997">
      <c r="A667" s="6">
        <v>43440.44809027778</v>
      </c>
      <c r="B667" s="7" t="str">
        <f>HYPERLINK("https://twitter.com/cesardura20","@cesardura20")</f>
        <v>@cesardura20</v>
      </c>
      <c r="C667" s="8" t="s">
        <v>2457</v>
      </c>
      <c r="D667" s="9" t="s">
        <v>2458</v>
      </c>
      <c r="E667" s="10" t="str">
        <f>HYPERLINK("https://twitter.com/cesardura20/status/1070615141727768576","1070615141727768576")</f>
        <v>1070615141727768576</v>
      </c>
      <c r="F667" s="11" t="s">
        <v>1129</v>
      </c>
      <c r="G667" s="12"/>
      <c r="H667" s="12"/>
      <c r="I667" s="13">
        <v>1</v>
      </c>
      <c r="J667" s="13">
        <v>0</v>
      </c>
      <c r="K667" s="14" t="str">
        <f>HYPERLINK("http://twitter.com/download/iphone","Twitter for iPhone")</f>
        <v>Twitter for iPhone</v>
      </c>
      <c r="L667" s="13">
        <v>650</v>
      </c>
      <c r="M667" s="13">
        <v>518</v>
      </c>
      <c r="N667" s="13">
        <v>5</v>
      </c>
      <c r="O667" s="15"/>
      <c r="P667" s="6">
        <v>41131.523634259262</v>
      </c>
      <c r="Q667" s="16" t="s">
        <v>2459</v>
      </c>
      <c r="R667" s="17" t="s">
        <v>2460</v>
      </c>
      <c r="S667" s="11" t="s">
        <v>2461</v>
      </c>
      <c r="T667" s="12"/>
      <c r="U667" s="10" t="str">
        <f>HYPERLINK("https://pbs.twimg.com/profile_images/965733410735054848/Wd3fBLRd.jpg","View")</f>
        <v>View</v>
      </c>
    </row>
    <row r="668" spans="1:21" ht="30.6">
      <c r="A668" s="6">
        <v>43440.447060185186</v>
      </c>
      <c r="B668" s="7" t="str">
        <f>HYPERLINK("https://twitter.com/mariano_alonsof","@mariano_alonsof")</f>
        <v>@mariano_alonsof</v>
      </c>
      <c r="C668" s="8" t="s">
        <v>2462</v>
      </c>
      <c r="D668" s="9" t="s">
        <v>2463</v>
      </c>
      <c r="E668" s="10" t="str">
        <f>HYPERLINK("https://twitter.com/mariano_alonsof/status/1070614768296304640","1070614768296304640")</f>
        <v>1070614768296304640</v>
      </c>
      <c r="F668" s="11" t="s">
        <v>1389</v>
      </c>
      <c r="G668" s="12"/>
      <c r="H668" s="12"/>
      <c r="I668" s="13">
        <v>1</v>
      </c>
      <c r="J668" s="13">
        <v>8</v>
      </c>
      <c r="K668" s="14" t="str">
        <f>HYPERLINK("http://twitter.com","Twitter Web Client")</f>
        <v>Twitter Web Client</v>
      </c>
      <c r="L668" s="13">
        <v>8189</v>
      </c>
      <c r="M668" s="13">
        <v>4669</v>
      </c>
      <c r="N668" s="13">
        <v>203</v>
      </c>
      <c r="O668" s="15"/>
      <c r="P668" s="6">
        <v>40645.553298611107</v>
      </c>
      <c r="Q668" s="16" t="s">
        <v>2464</v>
      </c>
      <c r="R668" s="17" t="s">
        <v>2465</v>
      </c>
      <c r="S668" s="12"/>
      <c r="T668" s="12"/>
      <c r="U668" s="10" t="str">
        <f>HYPERLINK("https://pbs.twimg.com/profile_images/1068820104505409536/JYT3Ysnd.jpg","View")</f>
        <v>View</v>
      </c>
    </row>
    <row r="669" spans="1:21" ht="40.799999999999997">
      <c r="A669" s="6">
        <v>43440.445601851854</v>
      </c>
      <c r="B669" s="7" t="str">
        <f>HYPERLINK("https://twitter.com/gfer66","@gfer66")</f>
        <v>@gfer66</v>
      </c>
      <c r="C669" s="8" t="s">
        <v>2466</v>
      </c>
      <c r="D669" s="9" t="s">
        <v>2467</v>
      </c>
      <c r="E669" s="10" t="str">
        <f>HYPERLINK("https://twitter.com/gfer66/status/1070614238220181504","1070614238220181504")</f>
        <v>1070614238220181504</v>
      </c>
      <c r="F669" s="12"/>
      <c r="G669" s="12"/>
      <c r="H669" s="12"/>
      <c r="I669" s="13">
        <v>1</v>
      </c>
      <c r="J669" s="13">
        <v>2</v>
      </c>
      <c r="K669" s="14" t="str">
        <f>HYPERLINK("http://twitter.com/download/android","Twitter for Android")</f>
        <v>Twitter for Android</v>
      </c>
      <c r="L669" s="13">
        <v>1966</v>
      </c>
      <c r="M669" s="13">
        <v>964</v>
      </c>
      <c r="N669" s="13">
        <v>70</v>
      </c>
      <c r="O669" s="15"/>
      <c r="P669" s="6">
        <v>39641.081759259258</v>
      </c>
      <c r="Q669" s="16" t="s">
        <v>2468</v>
      </c>
      <c r="R669" s="17" t="s">
        <v>2469</v>
      </c>
      <c r="S669" s="11" t="s">
        <v>2470</v>
      </c>
      <c r="T669" s="12"/>
      <c r="U669" s="10" t="str">
        <f>HYPERLINK("https://pbs.twimg.com/profile_images/657659913469038592/MeQ3KkeN.jpg","View")</f>
        <v>View</v>
      </c>
    </row>
    <row r="670" spans="1:21" ht="30.6">
      <c r="A670" s="6">
        <v>43440.445104166662</v>
      </c>
      <c r="B670" s="7" t="str">
        <f>HYPERLINK("https://twitter.com/spquislant","@spquislant")</f>
        <v>@spquislant</v>
      </c>
      <c r="C670" s="8" t="s">
        <v>2471</v>
      </c>
      <c r="D670" s="9" t="s">
        <v>2472</v>
      </c>
      <c r="E670" s="10" t="str">
        <f>HYPERLINK("https://twitter.com/spquislant/status/1070614061031849985","1070614061031849985")</f>
        <v>1070614061031849985</v>
      </c>
      <c r="F670" s="11" t="s">
        <v>1389</v>
      </c>
      <c r="G670" s="12"/>
      <c r="H670" s="12"/>
      <c r="I670" s="13">
        <v>10</v>
      </c>
      <c r="J670" s="13">
        <v>16</v>
      </c>
      <c r="K670" s="14" t="str">
        <f>HYPERLINK("http://twitter.com/#!/download/ipad","Twitter for iPad")</f>
        <v>Twitter for iPad</v>
      </c>
      <c r="L670" s="13">
        <v>2111</v>
      </c>
      <c r="M670" s="13">
        <v>791</v>
      </c>
      <c r="N670" s="13">
        <v>44</v>
      </c>
      <c r="O670" s="15"/>
      <c r="P670" s="6">
        <v>41883.952800925923</v>
      </c>
      <c r="Q670" s="16" t="s">
        <v>2473</v>
      </c>
      <c r="R670" s="17" t="s">
        <v>2474</v>
      </c>
      <c r="S670" s="12"/>
      <c r="T670" s="12"/>
      <c r="U670" s="10" t="str">
        <f>HYPERLINK("https://pbs.twimg.com/profile_images/1020055975531896832/ANprs9Ot.jpg","View")</f>
        <v>View</v>
      </c>
    </row>
    <row r="671" spans="1:21" ht="40.799999999999997">
      <c r="A671" s="6">
        <v>43440.442118055551</v>
      </c>
      <c r="B671" s="7" t="str">
        <f>HYPERLINK("https://twitter.com/cope_murcia","@cope_murcia")</f>
        <v>@cope_murcia</v>
      </c>
      <c r="C671" s="8" t="s">
        <v>2475</v>
      </c>
      <c r="D671" s="9" t="s">
        <v>2476</v>
      </c>
      <c r="E671" s="10" t="str">
        <f>HYPERLINK("https://twitter.com/cope_murcia/status/1070612978075090945","1070612978075090945")</f>
        <v>1070612978075090945</v>
      </c>
      <c r="F671" s="11" t="s">
        <v>2154</v>
      </c>
      <c r="G671" s="12"/>
      <c r="H671" s="12"/>
      <c r="I671" s="13">
        <v>1</v>
      </c>
      <c r="J671" s="13">
        <v>1</v>
      </c>
      <c r="K671" s="14" t="str">
        <f t="shared" ref="K671:K673" si="121">HYPERLINK("http://twitter.com","Twitter Web Client")</f>
        <v>Twitter Web Client</v>
      </c>
      <c r="L671" s="13">
        <v>6495</v>
      </c>
      <c r="M671" s="13">
        <v>1925</v>
      </c>
      <c r="N671" s="13">
        <v>113</v>
      </c>
      <c r="O671" s="15"/>
      <c r="P671" s="6">
        <v>41114.559039351851</v>
      </c>
      <c r="Q671" s="16" t="s">
        <v>96</v>
      </c>
      <c r="R671" s="17" t="s">
        <v>2477</v>
      </c>
      <c r="S671" s="11" t="s">
        <v>2478</v>
      </c>
      <c r="T671" s="12"/>
      <c r="U671" s="10" t="str">
        <f>HYPERLINK("https://pbs.twimg.com/profile_images/743173489679564800/_CXMeIhU.jpg","View")</f>
        <v>View</v>
      </c>
    </row>
    <row r="672" spans="1:21" ht="61.2">
      <c r="A672" s="6">
        <v>43440.438460648147</v>
      </c>
      <c r="B672" s="7" t="str">
        <f>HYPERLINK("https://twitter.com/Anroluir","@Anroluir")</f>
        <v>@Anroluir</v>
      </c>
      <c r="C672" s="8" t="s">
        <v>2479</v>
      </c>
      <c r="D672" s="9" t="s">
        <v>2480</v>
      </c>
      <c r="E672" s="10" t="str">
        <f>HYPERLINK("https://twitter.com/Anroluir/status/1070611650804371458","1070611650804371458")</f>
        <v>1070611650804371458</v>
      </c>
      <c r="F672" s="16" t="s">
        <v>2481</v>
      </c>
      <c r="G672" s="12"/>
      <c r="H672" s="12"/>
      <c r="I672" s="13">
        <v>0</v>
      </c>
      <c r="J672" s="13">
        <v>0</v>
      </c>
      <c r="K672" s="14" t="str">
        <f t="shared" si="121"/>
        <v>Twitter Web Client</v>
      </c>
      <c r="L672" s="13">
        <v>46</v>
      </c>
      <c r="M672" s="13">
        <v>86</v>
      </c>
      <c r="N672" s="13">
        <v>5</v>
      </c>
      <c r="O672" s="15"/>
      <c r="P672" s="6">
        <v>41430.351273148146</v>
      </c>
      <c r="Q672" s="12"/>
      <c r="R672" s="17" t="s">
        <v>2482</v>
      </c>
      <c r="S672" s="12"/>
      <c r="T672" s="12"/>
      <c r="U672" s="10" t="str">
        <f>HYPERLINK("https://pbs.twimg.com/profile_images/378800000819291653/2e577beb8bc714d3f071025c5c487d36.jpeg","View")</f>
        <v>View</v>
      </c>
    </row>
    <row r="673" spans="1:21" ht="20.399999999999999">
      <c r="A673" s="6">
        <v>43440.438449074078</v>
      </c>
      <c r="B673" s="7" t="str">
        <f>HYPERLINK("https://twitter.com/cj_dominguez7","@cj_dominguez7")</f>
        <v>@cj_dominguez7</v>
      </c>
      <c r="C673" s="8" t="s">
        <v>2483</v>
      </c>
      <c r="D673" s="9" t="s">
        <v>2463</v>
      </c>
      <c r="E673" s="10" t="str">
        <f>HYPERLINK("https://twitter.com/cj_dominguez7/status/1070611647847383040","1070611647847383040")</f>
        <v>1070611647847383040</v>
      </c>
      <c r="F673" s="11" t="s">
        <v>1389</v>
      </c>
      <c r="G673" s="12"/>
      <c r="H673" s="12"/>
      <c r="I673" s="13">
        <v>0</v>
      </c>
      <c r="J673" s="13">
        <v>0</v>
      </c>
      <c r="K673" s="14" t="str">
        <f t="shared" si="121"/>
        <v>Twitter Web Client</v>
      </c>
      <c r="L673" s="13">
        <v>84</v>
      </c>
      <c r="M673" s="13">
        <v>343</v>
      </c>
      <c r="N673" s="13">
        <v>1</v>
      </c>
      <c r="O673" s="15"/>
      <c r="P673" s="6">
        <v>40826.450914351852</v>
      </c>
      <c r="Q673" s="16" t="s">
        <v>48</v>
      </c>
      <c r="R673" s="20"/>
      <c r="S673" s="12"/>
      <c r="T673" s="12"/>
      <c r="U673" s="10" t="str">
        <f>HYPERLINK("https://pbs.twimg.com/profile_images/558985143051116544/y_91XN0F.jpeg","View")</f>
        <v>View</v>
      </c>
    </row>
    <row r="674" spans="1:21" ht="30.6">
      <c r="A674" s="6">
        <v>43440.435729166667</v>
      </c>
      <c r="B674" s="7" t="str">
        <f>HYPERLINK("https://twitter.com/EduardoOria","@EduardoOria")</f>
        <v>@EduardoOria</v>
      </c>
      <c r="C674" s="8" t="s">
        <v>2484</v>
      </c>
      <c r="D674" s="9" t="s">
        <v>2485</v>
      </c>
      <c r="E674" s="10" t="str">
        <f>HYPERLINK("https://twitter.com/EduardoOria/status/1070610663221944320","1070610663221944320")</f>
        <v>1070610663221944320</v>
      </c>
      <c r="F674" s="11" t="s">
        <v>1389</v>
      </c>
      <c r="G674" s="12"/>
      <c r="H674" s="12"/>
      <c r="I674" s="13">
        <v>0</v>
      </c>
      <c r="J674" s="13">
        <v>1</v>
      </c>
      <c r="K674" s="14" t="str">
        <f>HYPERLINK("http://twitter.com/download/iphone","Twitter for iPhone")</f>
        <v>Twitter for iPhone</v>
      </c>
      <c r="L674" s="13">
        <v>1192</v>
      </c>
      <c r="M674" s="13">
        <v>1159</v>
      </c>
      <c r="N674" s="13">
        <v>26</v>
      </c>
      <c r="O674" s="15"/>
      <c r="P674" s="6">
        <v>40192.489317129628</v>
      </c>
      <c r="Q674" s="16" t="s">
        <v>48</v>
      </c>
      <c r="R674" s="17" t="s">
        <v>2486</v>
      </c>
      <c r="S674" s="12"/>
      <c r="T674" s="12"/>
      <c r="U674" s="10" t="str">
        <f>HYPERLINK("https://pbs.twimg.com/profile_images/1019948093310210054/Ll1EHfQf.jpg","View")</f>
        <v>View</v>
      </c>
    </row>
    <row r="675" spans="1:21" ht="20.399999999999999">
      <c r="A675" s="6">
        <v>43440.434108796297</v>
      </c>
      <c r="B675" s="7" t="str">
        <f>HYPERLINK("https://twitter.com/cuchillm","@cuchillm")</f>
        <v>@cuchillm</v>
      </c>
      <c r="C675" s="8" t="s">
        <v>2487</v>
      </c>
      <c r="D675" s="9" t="s">
        <v>2463</v>
      </c>
      <c r="E675" s="10" t="str">
        <f>HYPERLINK("https://twitter.com/cuchillm/status/1070610076925353984","1070610076925353984")</f>
        <v>1070610076925353984</v>
      </c>
      <c r="F675" s="11" t="s">
        <v>1389</v>
      </c>
      <c r="G675" s="12"/>
      <c r="H675" s="12"/>
      <c r="I675" s="13">
        <v>0</v>
      </c>
      <c r="J675" s="13">
        <v>0</v>
      </c>
      <c r="K675" s="14" t="str">
        <f>HYPERLINK("http://twitter.com","Twitter Web Client")</f>
        <v>Twitter Web Client</v>
      </c>
      <c r="L675" s="13">
        <v>770</v>
      </c>
      <c r="M675" s="13">
        <v>376</v>
      </c>
      <c r="N675" s="13">
        <v>42</v>
      </c>
      <c r="O675" s="15"/>
      <c r="P675" s="6">
        <v>40291.935648148152</v>
      </c>
      <c r="Q675" s="16" t="s">
        <v>30</v>
      </c>
      <c r="R675" s="20"/>
      <c r="S675" s="12"/>
      <c r="T675" s="12"/>
      <c r="U675" s="10" t="str">
        <f>HYPERLINK("https://pbs.twimg.com/profile_images/948160677549658112/4CnWEZii.jpg","View")</f>
        <v>View</v>
      </c>
    </row>
    <row r="676" spans="1:21" ht="20.399999999999999">
      <c r="A676" s="6">
        <v>43440.43340277778</v>
      </c>
      <c r="B676" s="7" t="str">
        <f>HYPERLINK("https://twitter.com/jaestevezprado1","@jaestevezprado1")</f>
        <v>@jaestevezprado1</v>
      </c>
      <c r="C676" s="8" t="s">
        <v>2488</v>
      </c>
      <c r="D676" s="9" t="s">
        <v>2489</v>
      </c>
      <c r="E676" s="10" t="str">
        <f>HYPERLINK("https://twitter.com/jaestevezprado1/status/1070609818476576769","1070609818476576769")</f>
        <v>1070609818476576769</v>
      </c>
      <c r="F676" s="11" t="s">
        <v>1389</v>
      </c>
      <c r="G676" s="12"/>
      <c r="H676" s="12"/>
      <c r="I676" s="13">
        <v>0</v>
      </c>
      <c r="J676" s="13">
        <v>0</v>
      </c>
      <c r="K676" s="14" t="str">
        <f>HYPERLINK("http://twitter.com/download/android","Twitter for Android")</f>
        <v>Twitter for Android</v>
      </c>
      <c r="L676" s="13">
        <v>647</v>
      </c>
      <c r="M676" s="13">
        <v>711</v>
      </c>
      <c r="N676" s="13">
        <v>26</v>
      </c>
      <c r="O676" s="15"/>
      <c r="P676" s="6">
        <v>42174.419918981483</v>
      </c>
      <c r="Q676" s="12"/>
      <c r="R676" s="17" t="s">
        <v>2490</v>
      </c>
      <c r="S676" s="12"/>
      <c r="T676" s="12"/>
      <c r="U676" s="10" t="str">
        <f>HYPERLINK("https://pbs.twimg.com/profile_images/975427283874918400/2YuLw078.jpg","View")</f>
        <v>View</v>
      </c>
    </row>
    <row r="677" spans="1:21" ht="30.6">
      <c r="A677" s="6">
        <v>43440.432476851856</v>
      </c>
      <c r="B677" s="7" t="str">
        <f>HYPERLINK("https://twitter.com/_LpJ_","@_LpJ_")</f>
        <v>@_LpJ_</v>
      </c>
      <c r="C677" s="8" t="s">
        <v>2491</v>
      </c>
      <c r="D677" s="9" t="s">
        <v>2492</v>
      </c>
      <c r="E677" s="10" t="str">
        <f>HYPERLINK("https://twitter.com/_LpJ_/status/1070609485088075776","1070609485088075776")</f>
        <v>1070609485088075776</v>
      </c>
      <c r="F677" s="11" t="s">
        <v>2493</v>
      </c>
      <c r="G677" s="12"/>
      <c r="H677" s="12"/>
      <c r="I677" s="13">
        <v>0</v>
      </c>
      <c r="J677" s="13">
        <v>0</v>
      </c>
      <c r="K677" s="14" t="str">
        <f>HYPERLINK("https://www.google.com/","Google")</f>
        <v>Google</v>
      </c>
      <c r="L677" s="13">
        <v>36</v>
      </c>
      <c r="M677" s="13">
        <v>74</v>
      </c>
      <c r="N677" s="13">
        <v>2</v>
      </c>
      <c r="O677" s="15"/>
      <c r="P677" s="6">
        <v>40626.43513888889</v>
      </c>
      <c r="Q677" s="12"/>
      <c r="R677" s="17" t="s">
        <v>2495</v>
      </c>
      <c r="S677" s="12"/>
      <c r="T677" s="12"/>
      <c r="U677" s="10" t="str">
        <f>HYPERLINK("https://pbs.twimg.com/profile_images/378800000113750068/0e102a7944fdf635a7cd9e4b07de0f1f.jpeg","View")</f>
        <v>View</v>
      </c>
    </row>
    <row r="678" spans="1:21" ht="20.399999999999999">
      <c r="A678" s="6">
        <v>43440.431238425925</v>
      </c>
      <c r="B678" s="7" t="str">
        <f>HYPERLINK("https://twitter.com/LuciaMendezEM","@LuciaMendezEM")</f>
        <v>@LuciaMendezEM</v>
      </c>
      <c r="C678" s="8" t="s">
        <v>2496</v>
      </c>
      <c r="D678" s="9" t="s">
        <v>2497</v>
      </c>
      <c r="E678" s="10" t="str">
        <f>HYPERLINK("https://twitter.com/LuciaMendezEM/status/1070609033114124288","1070609033114124288")</f>
        <v>1070609033114124288</v>
      </c>
      <c r="F678" s="11" t="s">
        <v>1293</v>
      </c>
      <c r="G678" s="12"/>
      <c r="H678" s="12"/>
      <c r="I678" s="13">
        <v>22</v>
      </c>
      <c r="J678" s="13">
        <v>23</v>
      </c>
      <c r="K678" s="14" t="str">
        <f>HYPERLINK("https://mobile.twitter.com","Twitter Lite")</f>
        <v>Twitter Lite</v>
      </c>
      <c r="L678" s="13">
        <v>73445</v>
      </c>
      <c r="M678" s="13">
        <v>781</v>
      </c>
      <c r="N678" s="13">
        <v>619</v>
      </c>
      <c r="O678" s="19" t="s">
        <v>44</v>
      </c>
      <c r="P678" s="6">
        <v>42163.733564814815</v>
      </c>
      <c r="Q678" s="12"/>
      <c r="R678" s="17" t="s">
        <v>2498</v>
      </c>
      <c r="S678" s="11" t="s">
        <v>2499</v>
      </c>
      <c r="T678" s="12"/>
      <c r="U678" s="10" t="str">
        <f>HYPERLINK("https://pbs.twimg.com/profile_images/607938015026126848/c8NPH5QL.jpg","View")</f>
        <v>View</v>
      </c>
    </row>
    <row r="679" spans="1:21" ht="20.399999999999999">
      <c r="A679" s="6">
        <v>43440.430613425924</v>
      </c>
      <c r="B679" s="7" t="str">
        <f>HYPERLINK("https://twitter.com/carlosjunius1","@carlosjunius1")</f>
        <v>@carlosjunius1</v>
      </c>
      <c r="C679" s="8" t="s">
        <v>2500</v>
      </c>
      <c r="D679" s="9" t="s">
        <v>2501</v>
      </c>
      <c r="E679" s="10" t="str">
        <f>HYPERLINK("https://twitter.com/carlosjunius1/status/1070608806734893057","1070608806734893057")</f>
        <v>1070608806734893057</v>
      </c>
      <c r="F679" s="12"/>
      <c r="G679" s="11" t="s">
        <v>2502</v>
      </c>
      <c r="H679" s="12"/>
      <c r="I679" s="13">
        <v>0</v>
      </c>
      <c r="J679" s="13">
        <v>0</v>
      </c>
      <c r="K679" s="14" t="str">
        <f>HYPERLINK("http://twitter.com","Twitter Web Client")</f>
        <v>Twitter Web Client</v>
      </c>
      <c r="L679" s="13">
        <v>13</v>
      </c>
      <c r="M679" s="13">
        <v>123</v>
      </c>
      <c r="N679" s="13">
        <v>0</v>
      </c>
      <c r="O679" s="15"/>
      <c r="P679" s="6">
        <v>43439.897245370375</v>
      </c>
      <c r="Q679" s="16" t="s">
        <v>86</v>
      </c>
      <c r="R679" s="20"/>
      <c r="S679" s="12"/>
      <c r="T679" s="12"/>
      <c r="U679" s="10" t="str">
        <f>HYPERLINK("https://pbs.twimg.com/profile_images/1070416824603418624/bsy89FS-.jpg","View")</f>
        <v>View</v>
      </c>
    </row>
    <row r="680" spans="1:21" ht="30.6">
      <c r="A680" s="6">
        <v>43440.427233796298</v>
      </c>
      <c r="B680" s="7" t="str">
        <f>HYPERLINK("https://twitter.com/dablascodelgado","@dablascodelgado")</f>
        <v>@dablascodelgado</v>
      </c>
      <c r="C680" s="8" t="s">
        <v>2503</v>
      </c>
      <c r="D680" s="9" t="s">
        <v>2504</v>
      </c>
      <c r="E680" s="10" t="str">
        <f>HYPERLINK("https://twitter.com/dablascodelgado/status/1070607584313442304","1070607584313442304")</f>
        <v>1070607584313442304</v>
      </c>
      <c r="F680" s="11" t="s">
        <v>1389</v>
      </c>
      <c r="G680" s="12"/>
      <c r="H680" s="12"/>
      <c r="I680" s="13">
        <v>0</v>
      </c>
      <c r="J680" s="13">
        <v>0</v>
      </c>
      <c r="K680" s="14" t="str">
        <f>HYPERLINK("http://twitter.com/download/android","Twitter for Android")</f>
        <v>Twitter for Android</v>
      </c>
      <c r="L680" s="13">
        <v>219</v>
      </c>
      <c r="M680" s="13">
        <v>468</v>
      </c>
      <c r="N680" s="13">
        <v>6</v>
      </c>
      <c r="O680" s="15"/>
      <c r="P680" s="6">
        <v>42056.368888888886</v>
      </c>
      <c r="Q680" s="16" t="s">
        <v>191</v>
      </c>
      <c r="R680" s="17" t="s">
        <v>2505</v>
      </c>
      <c r="S680" s="11" t="s">
        <v>2506</v>
      </c>
      <c r="T680" s="12"/>
      <c r="U680" s="10" t="str">
        <f>HYPERLINK("https://pbs.twimg.com/profile_images/797042455707271168/p15g7Ch7.jpg","View")</f>
        <v>View</v>
      </c>
    </row>
    <row r="681" spans="1:21" ht="40.799999999999997">
      <c r="A681" s="6">
        <v>43440.427002314813</v>
      </c>
      <c r="B681" s="7" t="str">
        <f>HYPERLINK("https://twitter.com/blythe_club","@blythe_club")</f>
        <v>@blythe_club</v>
      </c>
      <c r="C681" s="8" t="s">
        <v>2046</v>
      </c>
      <c r="D681" s="9" t="s">
        <v>2507</v>
      </c>
      <c r="E681" s="10" t="str">
        <f>HYPERLINK("https://twitter.com/blythe_club/status/1070607499580063744","1070607499580063744")</f>
        <v>1070607499580063744</v>
      </c>
      <c r="F681" s="12"/>
      <c r="G681" s="12"/>
      <c r="H681" s="12"/>
      <c r="I681" s="13">
        <v>0</v>
      </c>
      <c r="J681" s="13">
        <v>4</v>
      </c>
      <c r="K681" s="14" t="str">
        <f>HYPERLINK("http://twitter.com","Twitter Web Client")</f>
        <v>Twitter Web Client</v>
      </c>
      <c r="L681" s="13">
        <v>9446</v>
      </c>
      <c r="M681" s="13">
        <v>9520</v>
      </c>
      <c r="N681" s="13">
        <v>107</v>
      </c>
      <c r="O681" s="15"/>
      <c r="P681" s="6">
        <v>40688.763182870374</v>
      </c>
      <c r="Q681" s="16" t="s">
        <v>2048</v>
      </c>
      <c r="R681" s="17" t="s">
        <v>2049</v>
      </c>
      <c r="S681" s="12"/>
      <c r="T681" s="12"/>
      <c r="U681" s="10" t="str">
        <f>HYPERLINK("https://pbs.twimg.com/profile_images/1368631894/blythe_4.JPG","View")</f>
        <v>View</v>
      </c>
    </row>
    <row r="682" spans="1:21" ht="30.6">
      <c r="A682" s="6">
        <v>43440.426620370374</v>
      </c>
      <c r="B682" s="7" t="str">
        <f>HYPERLINK("https://twitter.com/TeresaGS26","@TeresaGS26")</f>
        <v>@TeresaGS26</v>
      </c>
      <c r="C682" s="8" t="s">
        <v>1228</v>
      </c>
      <c r="D682" s="9" t="s">
        <v>2508</v>
      </c>
      <c r="E682" s="10" t="str">
        <f>HYPERLINK("https://twitter.com/TeresaGS26/status/1070607362820661249","1070607362820661249")</f>
        <v>1070607362820661249</v>
      </c>
      <c r="F682" s="11" t="s">
        <v>2144</v>
      </c>
      <c r="G682" s="12"/>
      <c r="H682" s="12"/>
      <c r="I682" s="13">
        <v>0</v>
      </c>
      <c r="J682" s="13">
        <v>0</v>
      </c>
      <c r="K682" s="14" t="str">
        <f>HYPERLINK("http://twitter.com/download/iphone","Twitter for iPhone")</f>
        <v>Twitter for iPhone</v>
      </c>
      <c r="L682" s="13">
        <v>843</v>
      </c>
      <c r="M682" s="13">
        <v>1019</v>
      </c>
      <c r="N682" s="13">
        <v>18</v>
      </c>
      <c r="O682" s="15"/>
      <c r="P682" s="6">
        <v>42241.614548611113</v>
      </c>
      <c r="Q682" s="12"/>
      <c r="R682" s="17" t="s">
        <v>1230</v>
      </c>
      <c r="S682" s="12"/>
      <c r="T682" s="12"/>
      <c r="U682" s="10" t="str">
        <f>HYPERLINK("https://pbs.twimg.com/profile_images/636159808249446400/2J9thX4B.jpg","View")</f>
        <v>View</v>
      </c>
    </row>
    <row r="683" spans="1:21" ht="30.6">
      <c r="A683" s="6">
        <v>43440.42559027778</v>
      </c>
      <c r="B683" s="7" t="str">
        <f>HYPERLINK("https://twitter.com/NewPoliticsEsp","@NewPoliticsEsp")</f>
        <v>@NewPoliticsEsp</v>
      </c>
      <c r="C683" s="8" t="s">
        <v>2509</v>
      </c>
      <c r="D683" s="9" t="s">
        <v>2510</v>
      </c>
      <c r="E683" s="10" t="str">
        <f>HYPERLINK("https://twitter.com/NewPoliticsEsp/status/1070606989401747456","1070606989401747456")</f>
        <v>1070606989401747456</v>
      </c>
      <c r="F683" s="11" t="s">
        <v>1389</v>
      </c>
      <c r="G683" s="12"/>
      <c r="H683" s="12"/>
      <c r="I683" s="13">
        <v>0</v>
      </c>
      <c r="J683" s="13">
        <v>0</v>
      </c>
      <c r="K683" s="14" t="str">
        <f>HYPERLINK("http://www.tweetcaster.com","TweetCaster for Android")</f>
        <v>TweetCaster for Android</v>
      </c>
      <c r="L683" s="13">
        <v>5424</v>
      </c>
      <c r="M683" s="13">
        <v>3357</v>
      </c>
      <c r="N683" s="13">
        <v>142</v>
      </c>
      <c r="O683" s="15"/>
      <c r="P683" s="6">
        <v>40249.099120370374</v>
      </c>
      <c r="Q683" s="16" t="s">
        <v>48</v>
      </c>
      <c r="R683" s="17" t="s">
        <v>2511</v>
      </c>
      <c r="S683" s="12"/>
      <c r="T683" s="12"/>
      <c r="U683" s="10" t="str">
        <f>HYPERLINK("https://pbs.twimg.com/profile_images/1009877760976801793/E0QnDCEy.jpg","View")</f>
        <v>View</v>
      </c>
    </row>
    <row r="684" spans="1:21" ht="51">
      <c r="A684" s="6">
        <v>43440.424479166672</v>
      </c>
      <c r="B684" s="7" t="str">
        <f>HYPERLINK("https://twitter.com/josercordon","@josercordon")</f>
        <v>@josercordon</v>
      </c>
      <c r="C684" s="8" t="s">
        <v>2512</v>
      </c>
      <c r="D684" s="9" t="s">
        <v>2513</v>
      </c>
      <c r="E684" s="10" t="str">
        <f>HYPERLINK("https://twitter.com/josercordon/status/1070606586903740417","1070606586903740417")</f>
        <v>1070606586903740417</v>
      </c>
      <c r="F684" s="16" t="s">
        <v>2514</v>
      </c>
      <c r="G684" s="12"/>
      <c r="H684" s="12"/>
      <c r="I684" s="13">
        <v>1</v>
      </c>
      <c r="J684" s="13">
        <v>1</v>
      </c>
      <c r="K684" s="14" t="str">
        <f>HYPERLINK("http://twitter.com/download/android","Twitter for Android")</f>
        <v>Twitter for Android</v>
      </c>
      <c r="L684" s="13">
        <v>2113</v>
      </c>
      <c r="M684" s="13">
        <v>2686</v>
      </c>
      <c r="N684" s="13">
        <v>24</v>
      </c>
      <c r="O684" s="15"/>
      <c r="P684" s="6">
        <v>40641.268460648149</v>
      </c>
      <c r="Q684" s="16" t="s">
        <v>1049</v>
      </c>
      <c r="R684" s="17" t="s">
        <v>2515</v>
      </c>
      <c r="S684" s="12"/>
      <c r="T684" s="12"/>
      <c r="U684" s="10" t="str">
        <f>HYPERLINK("https://pbs.twimg.com/profile_images/992744742231343104/A5pb5kRk.jpg","View")</f>
        <v>View</v>
      </c>
    </row>
    <row r="685" spans="1:21" ht="20.399999999999999">
      <c r="A685" s="6">
        <v>43440.422743055555</v>
      </c>
      <c r="B685" s="7" t="str">
        <f>HYPERLINK("https://twitter.com/BertlemVL","@BertlemVL")</f>
        <v>@BertlemVL</v>
      </c>
      <c r="C685" s="8" t="s">
        <v>2516</v>
      </c>
      <c r="D685" s="9" t="s">
        <v>2463</v>
      </c>
      <c r="E685" s="10" t="str">
        <f>HYPERLINK("https://twitter.com/BertlemVL/status/1070605957841981440","1070605957841981440")</f>
        <v>1070605957841981440</v>
      </c>
      <c r="F685" s="11" t="s">
        <v>1389</v>
      </c>
      <c r="G685" s="12"/>
      <c r="H685" s="12"/>
      <c r="I685" s="13">
        <v>0</v>
      </c>
      <c r="J685" s="13">
        <v>0</v>
      </c>
      <c r="K685" s="14" t="str">
        <f>HYPERLINK("http://twitter.com","Twitter Web Client")</f>
        <v>Twitter Web Client</v>
      </c>
      <c r="L685" s="13">
        <v>5267</v>
      </c>
      <c r="M685" s="13">
        <v>4377</v>
      </c>
      <c r="N685" s="13">
        <v>187</v>
      </c>
      <c r="O685" s="15"/>
      <c r="P685" s="6">
        <v>39924.973587962959</v>
      </c>
      <c r="Q685" s="16" t="s">
        <v>1351</v>
      </c>
      <c r="R685" s="17" t="s">
        <v>2517</v>
      </c>
      <c r="S685" s="11" t="s">
        <v>2518</v>
      </c>
      <c r="T685" s="12"/>
      <c r="U685" s="10" t="str">
        <f>HYPERLINK("https://pbs.twimg.com/profile_images/735650186270236672/zDAonHM_.jpg","View")</f>
        <v>View</v>
      </c>
    </row>
    <row r="686" spans="1:21" ht="40.799999999999997">
      <c r="A686" s="6">
        <v>43440.422465277778</v>
      </c>
      <c r="B686" s="7" t="str">
        <f>HYPERLINK("https://twitter.com/Guadalupbragado","@Guadalupbragado")</f>
        <v>@Guadalupbragado</v>
      </c>
      <c r="C686" s="8" t="s">
        <v>1667</v>
      </c>
      <c r="D686" s="9" t="s">
        <v>2001</v>
      </c>
      <c r="E686" s="10" t="str">
        <f>HYPERLINK("https://twitter.com/Guadalupbragado/status/1070605854242734080","1070605854242734080")</f>
        <v>1070605854242734080</v>
      </c>
      <c r="F686" s="11" t="s">
        <v>1389</v>
      </c>
      <c r="G686" s="12"/>
      <c r="H686" s="12"/>
      <c r="I686" s="13">
        <v>0</v>
      </c>
      <c r="J686" s="13">
        <v>0</v>
      </c>
      <c r="K686" s="14" t="str">
        <f>HYPERLINK("http://twitter.com/download/android","Twitter for Android")</f>
        <v>Twitter for Android</v>
      </c>
      <c r="L686" s="13">
        <v>2166</v>
      </c>
      <c r="M686" s="13">
        <v>1164</v>
      </c>
      <c r="N686" s="13">
        <v>145</v>
      </c>
      <c r="O686" s="15"/>
      <c r="P686" s="6">
        <v>41291.88417824074</v>
      </c>
      <c r="Q686" s="16" t="s">
        <v>30</v>
      </c>
      <c r="R686" s="17" t="s">
        <v>1669</v>
      </c>
      <c r="S686" s="11" t="s">
        <v>1670</v>
      </c>
      <c r="T686" s="12"/>
      <c r="U686" s="10" t="str">
        <f>HYPERLINK("https://pbs.twimg.com/profile_images/1047569124220657664/Fmljmoqf.jpg","View")</f>
        <v>View</v>
      </c>
    </row>
    <row r="687" spans="1:21" ht="40.799999999999997">
      <c r="A687" s="6">
        <v>43440.418668981481</v>
      </c>
      <c r="B687" s="7" t="str">
        <f>HYPERLINK("https://twitter.com/popularescs","@popularescs")</f>
        <v>@popularescs</v>
      </c>
      <c r="C687" s="8" t="s">
        <v>2519</v>
      </c>
      <c r="D687" s="9" t="s">
        <v>2520</v>
      </c>
      <c r="E687" s="10" t="str">
        <f>HYPERLINK("https://twitter.com/popularescs/status/1070604478615822337","1070604478615822337")</f>
        <v>1070604478615822337</v>
      </c>
      <c r="F687" s="11" t="s">
        <v>1129</v>
      </c>
      <c r="G687" s="12"/>
      <c r="H687" s="12"/>
      <c r="I687" s="13">
        <v>13</v>
      </c>
      <c r="J687" s="13">
        <v>29</v>
      </c>
      <c r="K687" s="14" t="str">
        <f t="shared" ref="K687:K688" si="122">HYPERLINK("http://twitter.com","Twitter Web Client")</f>
        <v>Twitter Web Client</v>
      </c>
      <c r="L687" s="13">
        <v>3921</v>
      </c>
      <c r="M687" s="13">
        <v>854</v>
      </c>
      <c r="N687" s="13">
        <v>54</v>
      </c>
      <c r="O687" s="15"/>
      <c r="P687" s="6">
        <v>40569.726701388892</v>
      </c>
      <c r="Q687" s="16" t="s">
        <v>361</v>
      </c>
      <c r="R687" s="17" t="s">
        <v>2521</v>
      </c>
      <c r="S687" s="11" t="s">
        <v>2522</v>
      </c>
      <c r="T687" s="12"/>
      <c r="U687" s="10" t="str">
        <f>HYPERLINK("https://pbs.twimg.com/profile_images/1053418888887701505/hsItiGpG.jpg","View")</f>
        <v>View</v>
      </c>
    </row>
    <row r="688" spans="1:21" ht="40.799999999999997">
      <c r="A688" s="6">
        <v>43440.416284722218</v>
      </c>
      <c r="B688" s="7" t="str">
        <f>HYPERLINK("https://twitter.com/Luquenyo","@Luquenyo")</f>
        <v>@Luquenyo</v>
      </c>
      <c r="C688" s="8" t="s">
        <v>2523</v>
      </c>
      <c r="D688" s="9" t="s">
        <v>2524</v>
      </c>
      <c r="E688" s="10" t="str">
        <f>HYPERLINK("https://twitter.com/Luquenyo/status/1070603614605987841","1070603614605987841")</f>
        <v>1070603614605987841</v>
      </c>
      <c r="F688" s="11" t="s">
        <v>2525</v>
      </c>
      <c r="G688" s="12"/>
      <c r="H688" s="12"/>
      <c r="I688" s="13">
        <v>0</v>
      </c>
      <c r="J688" s="13">
        <v>0</v>
      </c>
      <c r="K688" s="14" t="str">
        <f t="shared" si="122"/>
        <v>Twitter Web Client</v>
      </c>
      <c r="L688" s="13">
        <v>372</v>
      </c>
      <c r="M688" s="13">
        <v>285</v>
      </c>
      <c r="N688" s="13">
        <v>19</v>
      </c>
      <c r="O688" s="15"/>
      <c r="P688" s="6">
        <v>40649.51326388889</v>
      </c>
      <c r="Q688" s="16" t="s">
        <v>1455</v>
      </c>
      <c r="R688" s="17" t="s">
        <v>2526</v>
      </c>
      <c r="S688" s="12"/>
      <c r="T688" s="12"/>
      <c r="U688" s="10" t="str">
        <f>HYPERLINK("https://pbs.twimg.com/profile_images/1490203872/img030.jpg","View")</f>
        <v>View</v>
      </c>
    </row>
    <row r="689" spans="1:21" ht="13.2">
      <c r="A689" s="6">
        <v>43440.414849537032</v>
      </c>
      <c r="B689" s="7" t="str">
        <f>HYPERLINK("https://twitter.com/TeresaGS26","@TeresaGS26")</f>
        <v>@TeresaGS26</v>
      </c>
      <c r="C689" s="8" t="s">
        <v>1228</v>
      </c>
      <c r="D689" s="9" t="s">
        <v>1565</v>
      </c>
      <c r="E689" s="10" t="str">
        <f>HYPERLINK("https://twitter.com/TeresaGS26/status/1070603094541692928","1070603094541692928")</f>
        <v>1070603094541692928</v>
      </c>
      <c r="F689" s="11" t="s">
        <v>1129</v>
      </c>
      <c r="G689" s="12"/>
      <c r="H689" s="12"/>
      <c r="I689" s="13">
        <v>1</v>
      </c>
      <c r="J689" s="13">
        <v>1</v>
      </c>
      <c r="K689" s="14" t="str">
        <f>HYPERLINK("http://twitter.com/download/iphone","Twitter for iPhone")</f>
        <v>Twitter for iPhone</v>
      </c>
      <c r="L689" s="13">
        <v>843</v>
      </c>
      <c r="M689" s="13">
        <v>1019</v>
      </c>
      <c r="N689" s="13">
        <v>18</v>
      </c>
      <c r="O689" s="15"/>
      <c r="P689" s="6">
        <v>42241.614548611113</v>
      </c>
      <c r="Q689" s="12"/>
      <c r="R689" s="17" t="s">
        <v>1230</v>
      </c>
      <c r="S689" s="12"/>
      <c r="T689" s="12"/>
      <c r="U689" s="10" t="str">
        <f>HYPERLINK("https://pbs.twimg.com/profile_images/636159808249446400/2J9thX4B.jpg","View")</f>
        <v>View</v>
      </c>
    </row>
    <row r="690" spans="1:21" ht="40.799999999999997">
      <c r="A690" s="6">
        <v>43440.408773148149</v>
      </c>
      <c r="B690" s="7" t="str">
        <f>HYPERLINK("https://twitter.com/Hatshepsut1976","@Hatshepsut1976")</f>
        <v>@Hatshepsut1976</v>
      </c>
      <c r="C690" s="8" t="s">
        <v>2527</v>
      </c>
      <c r="D690" s="9" t="s">
        <v>1388</v>
      </c>
      <c r="E690" s="10" t="str">
        <f>HYPERLINK("https://twitter.com/Hatshepsut1976/status/1070600895245754368","1070600895245754368")</f>
        <v>1070600895245754368</v>
      </c>
      <c r="F690" s="11" t="s">
        <v>1389</v>
      </c>
      <c r="G690" s="12"/>
      <c r="H690" s="12"/>
      <c r="I690" s="13">
        <v>1</v>
      </c>
      <c r="J690" s="13">
        <v>2</v>
      </c>
      <c r="K690" s="14" t="str">
        <f>HYPERLINK("http://twitter.com/#!/download/ipad","Twitter for iPad")</f>
        <v>Twitter for iPad</v>
      </c>
      <c r="L690" s="13">
        <v>1058</v>
      </c>
      <c r="M690" s="13">
        <v>1306</v>
      </c>
      <c r="N690" s="13">
        <v>98</v>
      </c>
      <c r="O690" s="15"/>
      <c r="P690" s="6">
        <v>40261.839189814811</v>
      </c>
      <c r="Q690" s="16" t="s">
        <v>191</v>
      </c>
      <c r="R690" s="17" t="s">
        <v>2528</v>
      </c>
      <c r="S690" s="11" t="s">
        <v>2529</v>
      </c>
      <c r="T690" s="12"/>
      <c r="U690" s="10" t="str">
        <f>HYPERLINK("https://pbs.twimg.com/profile_images/929361584161423361/92AIa_qp.jpg","View")</f>
        <v>View</v>
      </c>
    </row>
    <row r="691" spans="1:21" ht="30.6">
      <c r="A691" s="6">
        <v>43440.408449074079</v>
      </c>
      <c r="B691" s="7" t="str">
        <f>HYPERLINK("https://twitter.com/INFAMIA2","@INFAMIA2")</f>
        <v>@INFAMIA2</v>
      </c>
      <c r="C691" s="8" t="s">
        <v>2530</v>
      </c>
      <c r="D691" s="9" t="s">
        <v>2531</v>
      </c>
      <c r="E691" s="10" t="str">
        <f>HYPERLINK("https://twitter.com/INFAMIA2/status/1070600775280267265","1070600775280267265")</f>
        <v>1070600775280267265</v>
      </c>
      <c r="F691" s="12"/>
      <c r="G691" s="12"/>
      <c r="H691" s="12"/>
      <c r="I691" s="13">
        <v>2</v>
      </c>
      <c r="J691" s="13">
        <v>0</v>
      </c>
      <c r="K691" s="14" t="str">
        <f>HYPERLINK("https://mobile.twitter.com","Twitter Lite")</f>
        <v>Twitter Lite</v>
      </c>
      <c r="L691" s="13">
        <v>357</v>
      </c>
      <c r="M691" s="13">
        <v>514</v>
      </c>
      <c r="N691" s="13">
        <v>2</v>
      </c>
      <c r="O691" s="15"/>
      <c r="P691" s="6">
        <v>41258.744618055556</v>
      </c>
      <c r="Q691" s="12"/>
      <c r="R691" s="17" t="s">
        <v>2532</v>
      </c>
      <c r="S691" s="12"/>
      <c r="T691" s="12"/>
      <c r="U691" s="10" t="str">
        <f>HYPERLINK("https://pbs.twimg.com/profile_images/698311643999109120/VFBCuuLA.jpg","View")</f>
        <v>View</v>
      </c>
    </row>
    <row r="692" spans="1:21" ht="30.6">
      <c r="A692" s="6">
        <v>43440.406747685185</v>
      </c>
      <c r="B692" s="7" t="str">
        <f>HYPERLINK("https://twitter.com/elenaajimenez04","@elenaajimenez04")</f>
        <v>@elenaajimenez04</v>
      </c>
      <c r="C692" s="8" t="s">
        <v>2533</v>
      </c>
      <c r="D692" s="9" t="s">
        <v>2534</v>
      </c>
      <c r="E692" s="10" t="str">
        <f>HYPERLINK("https://twitter.com/elenaajimenez04/status/1070600161242554370","1070600161242554370")</f>
        <v>1070600161242554370</v>
      </c>
      <c r="F692" s="12"/>
      <c r="G692" s="12"/>
      <c r="H692" s="12"/>
      <c r="I692" s="13">
        <v>0</v>
      </c>
      <c r="J692" s="13">
        <v>0</v>
      </c>
      <c r="K692" s="14" t="str">
        <f>HYPERLINK("http://twitter.com/download/android","Twitter for Android")</f>
        <v>Twitter for Android</v>
      </c>
      <c r="L692" s="13">
        <v>3</v>
      </c>
      <c r="M692" s="13">
        <v>55</v>
      </c>
      <c r="N692" s="13">
        <v>0</v>
      </c>
      <c r="O692" s="15"/>
      <c r="P692" s="6">
        <v>43412.002175925925</v>
      </c>
      <c r="Q692" s="12"/>
      <c r="R692" s="20"/>
      <c r="S692" s="12"/>
      <c r="T692" s="12"/>
      <c r="U692" s="10" t="str">
        <f>HYPERLINK("https://pbs.twimg.com/profile_images/1070075455913500677/Vpcl5BoQ.jpg","View")</f>
        <v>View</v>
      </c>
    </row>
    <row r="693" spans="1:21" ht="30.6">
      <c r="A693" s="6">
        <v>43440.405127314814</v>
      </c>
      <c r="B693" s="7" t="str">
        <f>HYPERLINK("https://twitter.com/Eugenio63098874","@Eugenio63098874")</f>
        <v>@Eugenio63098874</v>
      </c>
      <c r="C693" s="8" t="s">
        <v>2535</v>
      </c>
      <c r="D693" s="9" t="s">
        <v>2115</v>
      </c>
      <c r="E693" s="10" t="str">
        <f>HYPERLINK("https://twitter.com/Eugenio63098874/status/1070599573981315072","1070599573981315072")</f>
        <v>1070599573981315072</v>
      </c>
      <c r="F693" s="11" t="s">
        <v>1960</v>
      </c>
      <c r="G693" s="12"/>
      <c r="H693" s="12"/>
      <c r="I693" s="13">
        <v>0</v>
      </c>
      <c r="J693" s="13">
        <v>0</v>
      </c>
      <c r="K693" s="14" t="str">
        <f>HYPERLINK("http://twitter.com","Twitter Web Client")</f>
        <v>Twitter Web Client</v>
      </c>
      <c r="L693" s="13">
        <v>26</v>
      </c>
      <c r="M693" s="13">
        <v>322</v>
      </c>
      <c r="N693" s="13">
        <v>0</v>
      </c>
      <c r="O693" s="15"/>
      <c r="P693" s="6">
        <v>43189.665138888886</v>
      </c>
      <c r="Q693" s="12"/>
      <c r="R693" s="20"/>
      <c r="S693" s="12"/>
      <c r="T693" s="12"/>
      <c r="U693" s="10" t="str">
        <f>HYPERLINK("https://pbs.twimg.com/profile_images/1044637518631710720/L1M74q26.jpg","View")</f>
        <v>View</v>
      </c>
    </row>
    <row r="694" spans="1:21" ht="30.6">
      <c r="A694" s="6">
        <v>43440.403032407412</v>
      </c>
      <c r="B694" s="7" t="str">
        <f>HYPERLINK("https://twitter.com/ConsuG64","@ConsuG64")</f>
        <v>@ConsuG64</v>
      </c>
      <c r="C694" s="8" t="s">
        <v>2536</v>
      </c>
      <c r="D694" s="9" t="s">
        <v>2537</v>
      </c>
      <c r="E694" s="10" t="str">
        <f>HYPERLINK("https://twitter.com/ConsuG64/status/1070598812996116480","1070598812996116480")</f>
        <v>1070598812996116480</v>
      </c>
      <c r="F694" s="11" t="s">
        <v>1511</v>
      </c>
      <c r="G694" s="12"/>
      <c r="H694" s="12"/>
      <c r="I694" s="13">
        <v>1</v>
      </c>
      <c r="J694" s="13">
        <v>0</v>
      </c>
      <c r="K694" s="14" t="str">
        <f>HYPERLINK("http://twitter.com/download/iphone","Twitter for iPhone")</f>
        <v>Twitter for iPhone</v>
      </c>
      <c r="L694" s="13">
        <v>2796</v>
      </c>
      <c r="M694" s="13">
        <v>1965</v>
      </c>
      <c r="N694" s="13">
        <v>22</v>
      </c>
      <c r="O694" s="15"/>
      <c r="P694" s="6">
        <v>40612.874768518523</v>
      </c>
      <c r="Q694" s="16" t="s">
        <v>2538</v>
      </c>
      <c r="R694" s="17" t="s">
        <v>2539</v>
      </c>
      <c r="S694" s="11" t="s">
        <v>2540</v>
      </c>
      <c r="T694" s="12"/>
      <c r="U694" s="10" t="str">
        <f>HYPERLINK("https://pbs.twimg.com/profile_images/1054046008735420417/OmdbLQcI.jpg","View")</f>
        <v>View</v>
      </c>
    </row>
    <row r="695" spans="1:21" ht="30.6">
      <c r="A695" s="6">
        <v>43440.401249999995</v>
      </c>
      <c r="B695" s="7" t="str">
        <f>HYPERLINK("https://twitter.com/BRISCAg","@BRISCAg")</f>
        <v>@BRISCAg</v>
      </c>
      <c r="C695" s="8" t="s">
        <v>2541</v>
      </c>
      <c r="D695" s="9" t="s">
        <v>2463</v>
      </c>
      <c r="E695" s="10" t="str">
        <f>HYPERLINK("https://twitter.com/BRISCAg/status/1070598165789855744","1070598165789855744")</f>
        <v>1070598165789855744</v>
      </c>
      <c r="F695" s="11" t="s">
        <v>1389</v>
      </c>
      <c r="G695" s="12"/>
      <c r="H695" s="12"/>
      <c r="I695" s="13">
        <v>0</v>
      </c>
      <c r="J695" s="13">
        <v>0</v>
      </c>
      <c r="K695" s="14" t="str">
        <f>HYPERLINK("http://twitter.com","Twitter Web Client")</f>
        <v>Twitter Web Client</v>
      </c>
      <c r="L695" s="13">
        <v>1217</v>
      </c>
      <c r="M695" s="13">
        <v>1290</v>
      </c>
      <c r="N695" s="13">
        <v>15</v>
      </c>
      <c r="O695" s="15"/>
      <c r="P695" s="6">
        <v>40863.895648148144</v>
      </c>
      <c r="Q695" s="16" t="s">
        <v>48</v>
      </c>
      <c r="R695" s="17" t="s">
        <v>2542</v>
      </c>
      <c r="S695" s="12"/>
      <c r="T695" s="12"/>
      <c r="U695" s="10" t="str">
        <f>HYPERLINK("https://pbs.twimg.com/profile_images/786526907743477760/ET9-DRg2.jpg","View")</f>
        <v>View</v>
      </c>
    </row>
    <row r="696" spans="1:21" ht="13.2">
      <c r="A696" s="6">
        <v>43440.397488425922</v>
      </c>
      <c r="B696" s="7" t="str">
        <f>HYPERLINK("https://twitter.com/ppvaldemoro","@ppvaldemoro")</f>
        <v>@ppvaldemoro</v>
      </c>
      <c r="C696" s="8" t="s">
        <v>606</v>
      </c>
      <c r="D696" s="9" t="s">
        <v>2543</v>
      </c>
      <c r="E696" s="10" t="str">
        <f>HYPERLINK("https://twitter.com/ppvaldemoro/status/1070596803203162113","1070596803203162113")</f>
        <v>1070596803203162113</v>
      </c>
      <c r="F696" s="11" t="s">
        <v>2544</v>
      </c>
      <c r="G696" s="12"/>
      <c r="H696" s="12"/>
      <c r="I696" s="13">
        <v>2</v>
      </c>
      <c r="J696" s="13">
        <v>2</v>
      </c>
      <c r="K696" s="14" t="str">
        <f>HYPERLINK("http://twitter.com/download/iphone","Twitter for iPhone")</f>
        <v>Twitter for iPhone</v>
      </c>
      <c r="L696" s="13">
        <v>1470</v>
      </c>
      <c r="M696" s="13">
        <v>2224</v>
      </c>
      <c r="N696" s="13">
        <v>14</v>
      </c>
      <c r="O696" s="15"/>
      <c r="P696" s="6">
        <v>41197.453321759262</v>
      </c>
      <c r="Q696" s="12"/>
      <c r="R696" s="17" t="s">
        <v>607</v>
      </c>
      <c r="S696" s="11" t="s">
        <v>608</v>
      </c>
      <c r="T696" s="12"/>
      <c r="U696" s="10" t="str">
        <f>HYPERLINK("https://pbs.twimg.com/profile_images/900098762823143425/FkCX7Bbb.jpg","View")</f>
        <v>View</v>
      </c>
    </row>
    <row r="697" spans="1:21" ht="40.799999999999997">
      <c r="A697" s="6">
        <v>43440.39607638889</v>
      </c>
      <c r="B697" s="7" t="str">
        <f>HYPERLINK("https://twitter.com/mikihoyos","@mikihoyos")</f>
        <v>@mikihoyos</v>
      </c>
      <c r="C697" s="8" t="s">
        <v>539</v>
      </c>
      <c r="D697" s="9" t="s">
        <v>2545</v>
      </c>
      <c r="E697" s="10" t="str">
        <f>HYPERLINK("https://twitter.com/mikihoyos/status/1070596293754523648","1070596293754523648")</f>
        <v>1070596293754523648</v>
      </c>
      <c r="F697" s="11" t="s">
        <v>2525</v>
      </c>
      <c r="G697" s="12"/>
      <c r="H697" s="12"/>
      <c r="I697" s="13">
        <v>0</v>
      </c>
      <c r="J697" s="13">
        <v>0</v>
      </c>
      <c r="K697" s="14" t="str">
        <f>HYPERLINK("http://twitter.com/download/android","Twitter for Android")</f>
        <v>Twitter for Android</v>
      </c>
      <c r="L697" s="13">
        <v>9403</v>
      </c>
      <c r="M697" s="13">
        <v>7649</v>
      </c>
      <c r="N697" s="13">
        <v>163</v>
      </c>
      <c r="O697" s="15"/>
      <c r="P697" s="6">
        <v>40661.414722222224</v>
      </c>
      <c r="Q697" s="16" t="s">
        <v>353</v>
      </c>
      <c r="R697" s="17" t="s">
        <v>541</v>
      </c>
      <c r="S697" s="12"/>
      <c r="T697" s="12"/>
      <c r="U697" s="10" t="str">
        <f>HYPERLINK("https://pbs.twimg.com/profile_images/1069548523098648576/ydkGrxO_.jpg","View")</f>
        <v>View</v>
      </c>
    </row>
    <row r="698" spans="1:21" ht="30.6">
      <c r="A698" s="6">
        <v>43440.395729166667</v>
      </c>
      <c r="B698" s="7" t="str">
        <f>HYPERLINK("https://twitter.com/jtomas375","@jtomas375")</f>
        <v>@jtomas375</v>
      </c>
      <c r="C698" s="8" t="s">
        <v>2546</v>
      </c>
      <c r="D698" s="9" t="s">
        <v>2547</v>
      </c>
      <c r="E698" s="10" t="str">
        <f>HYPERLINK("https://twitter.com/jtomas375/status/1070596165245251584","1070596165245251584")</f>
        <v>1070596165245251584</v>
      </c>
      <c r="F698" s="11" t="s">
        <v>1960</v>
      </c>
      <c r="G698" s="12"/>
      <c r="H698" s="12"/>
      <c r="I698" s="13">
        <v>0</v>
      </c>
      <c r="J698" s="13">
        <v>0</v>
      </c>
      <c r="K698" s="14" t="str">
        <f>HYPERLINK("http://twitter.com/#!/download/ipad","Twitter for iPad")</f>
        <v>Twitter for iPad</v>
      </c>
      <c r="L698" s="13">
        <v>16</v>
      </c>
      <c r="M698" s="13">
        <v>92</v>
      </c>
      <c r="N698" s="13">
        <v>0</v>
      </c>
      <c r="O698" s="15"/>
      <c r="P698" s="6">
        <v>42018.600381944445</v>
      </c>
      <c r="Q698" s="12"/>
      <c r="R698" s="20"/>
      <c r="S698" s="12"/>
      <c r="T698" s="12"/>
      <c r="U698" s="10" t="str">
        <f>HYPERLINK("https://pbs.twimg.com/profile_images/555355975469637633/eX1lgA5K.jpeg","View")</f>
        <v>View</v>
      </c>
    </row>
    <row r="699" spans="1:21" ht="30.6">
      <c r="A699" s="6">
        <v>43440.39565972222</v>
      </c>
      <c r="B699" s="7" t="str">
        <f>HYPERLINK("https://twitter.com/JorgeHerreroxtv","@JorgeHerreroxtv")</f>
        <v>@JorgeHerreroxtv</v>
      </c>
      <c r="C699" s="8" t="s">
        <v>2548</v>
      </c>
      <c r="D699" s="9" t="s">
        <v>2115</v>
      </c>
      <c r="E699" s="10" t="str">
        <f>HYPERLINK("https://twitter.com/JorgeHerreroxtv/status/1070596142004625408","1070596142004625408")</f>
        <v>1070596142004625408</v>
      </c>
      <c r="F699" s="11" t="s">
        <v>1960</v>
      </c>
      <c r="G699" s="12"/>
      <c r="H699" s="12"/>
      <c r="I699" s="13">
        <v>0</v>
      </c>
      <c r="J699" s="13">
        <v>2</v>
      </c>
      <c r="K699" s="14" t="str">
        <f>HYPERLINK("http://twitter.com/download/android","Twitter for Android")</f>
        <v>Twitter for Android</v>
      </c>
      <c r="L699" s="13">
        <v>3560</v>
      </c>
      <c r="M699" s="13">
        <v>2122</v>
      </c>
      <c r="N699" s="13">
        <v>38</v>
      </c>
      <c r="O699" s="15"/>
      <c r="P699" s="6">
        <v>41196.781770833331</v>
      </c>
      <c r="Q699" s="16" t="s">
        <v>2549</v>
      </c>
      <c r="R699" s="17" t="s">
        <v>2550</v>
      </c>
      <c r="S699" s="12"/>
      <c r="T699" s="12"/>
      <c r="U699" s="10" t="str">
        <f>HYPERLINK("https://pbs.twimg.com/profile_images/1060850495340900353/KCOJWPxs.jpg","View")</f>
        <v>View</v>
      </c>
    </row>
    <row r="700" spans="1:21" ht="20.399999999999999">
      <c r="A700" s="6">
        <v>43440.390289351853</v>
      </c>
      <c r="B700" s="7" t="str">
        <f>HYPERLINK("https://twitter.com/TereRomgar","@TereRomgar")</f>
        <v>@TereRomgar</v>
      </c>
      <c r="C700" s="8" t="s">
        <v>2551</v>
      </c>
      <c r="D700" s="9" t="s">
        <v>2463</v>
      </c>
      <c r="E700" s="10" t="str">
        <f>HYPERLINK("https://twitter.com/TereRomgar/status/1070594197302972417","1070594197302972417")</f>
        <v>1070594197302972417</v>
      </c>
      <c r="F700" s="11" t="s">
        <v>1389</v>
      </c>
      <c r="G700" s="12"/>
      <c r="H700" s="12"/>
      <c r="I700" s="13">
        <v>1</v>
      </c>
      <c r="J700" s="13">
        <v>2</v>
      </c>
      <c r="K700" s="14" t="str">
        <f>HYPERLINK("http://twitter.com","Twitter Web Client")</f>
        <v>Twitter Web Client</v>
      </c>
      <c r="L700" s="13">
        <v>1498</v>
      </c>
      <c r="M700" s="13">
        <v>2079</v>
      </c>
      <c r="N700" s="13">
        <v>17</v>
      </c>
      <c r="O700" s="15"/>
      <c r="P700" s="6">
        <v>40041.572094907409</v>
      </c>
      <c r="Q700" s="12"/>
      <c r="R700" s="20"/>
      <c r="S700" s="12"/>
      <c r="T700" s="12"/>
      <c r="U700" s="10" t="str">
        <f>HYPERLINK("https://pbs.twimg.com/profile_images/1610523733/Akubra_1.jpg","View")</f>
        <v>View</v>
      </c>
    </row>
    <row r="701" spans="1:21" ht="51">
      <c r="A701" s="6">
        <v>43440.387754629628</v>
      </c>
      <c r="B701" s="7" t="str">
        <f>HYPERLINK("https://twitter.com/OrbitaEduardo","@OrbitaEduardo")</f>
        <v>@OrbitaEduardo</v>
      </c>
      <c r="C701" s="8" t="s">
        <v>2552</v>
      </c>
      <c r="D701" s="9" t="s">
        <v>2553</v>
      </c>
      <c r="E701" s="10" t="str">
        <f>HYPERLINK("https://twitter.com/OrbitaEduardo/status/1070593278146473985","1070593278146473985")</f>
        <v>1070593278146473985</v>
      </c>
      <c r="F701" s="12"/>
      <c r="G701" s="11" t="s">
        <v>2554</v>
      </c>
      <c r="H701" s="12"/>
      <c r="I701" s="13">
        <v>138</v>
      </c>
      <c r="J701" s="13">
        <v>138</v>
      </c>
      <c r="K701" s="14" t="str">
        <f>HYPERLINK("http://twitter.com/download/android","Twitter for Android")</f>
        <v>Twitter for Android</v>
      </c>
      <c r="L701" s="13">
        <v>4524</v>
      </c>
      <c r="M701" s="13">
        <v>4948</v>
      </c>
      <c r="N701" s="13">
        <v>13</v>
      </c>
      <c r="O701" s="15"/>
      <c r="P701" s="6">
        <v>43110.374305555553</v>
      </c>
      <c r="Q701" s="16" t="s">
        <v>611</v>
      </c>
      <c r="R701" s="17" t="s">
        <v>2555</v>
      </c>
      <c r="S701" s="12"/>
      <c r="T701" s="12"/>
      <c r="U701" s="10" t="str">
        <f>HYPERLINK("https://pbs.twimg.com/profile_images/1034013666600001538/MmqVJqFc.jpg","View")</f>
        <v>View</v>
      </c>
    </row>
    <row r="702" spans="1:21" ht="20.399999999999999">
      <c r="A702" s="6">
        <v>43440.385567129633</v>
      </c>
      <c r="B702" s="7" t="str">
        <f>HYPERLINK("https://twitter.com/lolapastur","@lolapastur")</f>
        <v>@lolapastur</v>
      </c>
      <c r="C702" s="8" t="s">
        <v>1213</v>
      </c>
      <c r="D702" s="9" t="s">
        <v>1565</v>
      </c>
      <c r="E702" s="10" t="str">
        <f>HYPERLINK("https://twitter.com/lolapastur/status/1070592483510358016","1070592483510358016")</f>
        <v>1070592483510358016</v>
      </c>
      <c r="F702" s="11" t="s">
        <v>1129</v>
      </c>
      <c r="G702" s="12"/>
      <c r="H702" s="12"/>
      <c r="I702" s="13">
        <v>0</v>
      </c>
      <c r="J702" s="13">
        <v>0</v>
      </c>
      <c r="K702" s="14" t="str">
        <f>HYPERLINK("http://twitter.com/download/iphone","Twitter for iPhone")</f>
        <v>Twitter for iPhone</v>
      </c>
      <c r="L702" s="13">
        <v>3784</v>
      </c>
      <c r="M702" s="13">
        <v>2833</v>
      </c>
      <c r="N702" s="13">
        <v>33</v>
      </c>
      <c r="O702" s="15"/>
      <c r="P702" s="6">
        <v>40913.599293981482</v>
      </c>
      <c r="Q702" s="12"/>
      <c r="R702" s="17" t="s">
        <v>1216</v>
      </c>
      <c r="S702" s="12"/>
      <c r="T702" s="12"/>
      <c r="U702" s="10" t="str">
        <f>HYPERLINK("https://pbs.twimg.com/profile_images/934821295736451073/tnymHvNj.jpg","View")</f>
        <v>View</v>
      </c>
    </row>
    <row r="703" spans="1:21" ht="51">
      <c r="A703" s="6">
        <v>43440.37908564815</v>
      </c>
      <c r="B703" s="7" t="str">
        <f>HYPERLINK("https://twitter.com/dotravez","@dotravez")</f>
        <v>@dotravez</v>
      </c>
      <c r="C703" s="8" t="s">
        <v>2557</v>
      </c>
      <c r="D703" s="9" t="s">
        <v>2558</v>
      </c>
      <c r="E703" s="10" t="str">
        <f>HYPERLINK("https://twitter.com/dotravez/status/1070590135283142658","1070590135283142658")</f>
        <v>1070590135283142658</v>
      </c>
      <c r="F703" s="16" t="s">
        <v>2293</v>
      </c>
      <c r="G703" s="12"/>
      <c r="H703" s="12"/>
      <c r="I703" s="13">
        <v>0</v>
      </c>
      <c r="J703" s="13">
        <v>0</v>
      </c>
      <c r="K703" s="14" t="str">
        <f t="shared" ref="K703:K704" si="123">HYPERLINK("http://twitter.com/download/android","Twitter for Android")</f>
        <v>Twitter for Android</v>
      </c>
      <c r="L703" s="13">
        <v>130</v>
      </c>
      <c r="M703" s="13">
        <v>591</v>
      </c>
      <c r="N703" s="13">
        <v>5</v>
      </c>
      <c r="O703" s="15"/>
      <c r="P703" s="6">
        <v>42240.424108796295</v>
      </c>
      <c r="Q703" s="12"/>
      <c r="R703" s="17" t="s">
        <v>2559</v>
      </c>
      <c r="S703" s="12"/>
      <c r="T703" s="12"/>
      <c r="U703" s="10" t="str">
        <f>HYPERLINK("https://pbs.twimg.com/profile_images/635955194946306049/bBCYlZOi.jpg","View")</f>
        <v>View</v>
      </c>
    </row>
    <row r="704" spans="1:21" ht="51">
      <c r="A704" s="6">
        <v>43440.374791666662</v>
      </c>
      <c r="B704" s="7" t="str">
        <f>HYPERLINK("https://twitter.com/_LaMamma_","@_LaMamma_")</f>
        <v>@_LaMamma_</v>
      </c>
      <c r="C704" s="8" t="s">
        <v>2560</v>
      </c>
      <c r="D704" s="9" t="s">
        <v>2561</v>
      </c>
      <c r="E704" s="10" t="str">
        <f>HYPERLINK("https://twitter.com/_LaMamma_/status/1070588579737468928","1070588579737468928")</f>
        <v>1070588579737468928</v>
      </c>
      <c r="F704" s="12"/>
      <c r="G704" s="12"/>
      <c r="H704" s="12"/>
      <c r="I704" s="13">
        <v>1</v>
      </c>
      <c r="J704" s="13">
        <v>4</v>
      </c>
      <c r="K704" s="14" t="str">
        <f t="shared" si="123"/>
        <v>Twitter for Android</v>
      </c>
      <c r="L704" s="13">
        <v>2199</v>
      </c>
      <c r="M704" s="13">
        <v>1564</v>
      </c>
      <c r="N704" s="13">
        <v>16</v>
      </c>
      <c r="O704" s="15"/>
      <c r="P704" s="6">
        <v>41212.750277777777</v>
      </c>
      <c r="Q704" s="12"/>
      <c r="R704" s="17" t="s">
        <v>2562</v>
      </c>
      <c r="S704" s="12"/>
      <c r="T704" s="12"/>
      <c r="U704" s="10" t="str">
        <f>HYPERLINK("https://pbs.twimg.com/profile_images/1028579952676007936/7gvXoMTn.jpg","View")</f>
        <v>View</v>
      </c>
    </row>
    <row r="705" spans="1:21" ht="30.6">
      <c r="A705" s="6">
        <v>43440.374293981484</v>
      </c>
      <c r="B705" s="7" t="str">
        <f>HYPERLINK("https://twitter.com/Abierto_PP","@Abierto_PP")</f>
        <v>@Abierto_PP</v>
      </c>
      <c r="C705" s="8" t="s">
        <v>364</v>
      </c>
      <c r="D705" s="9" t="s">
        <v>2563</v>
      </c>
      <c r="E705" s="10" t="str">
        <f>HYPERLINK("https://twitter.com/Abierto_PP/status/1070588400527396864","1070588400527396864")</f>
        <v>1070588400527396864</v>
      </c>
      <c r="F705" s="11" t="s">
        <v>1389</v>
      </c>
      <c r="G705" s="12"/>
      <c r="H705" s="12"/>
      <c r="I705" s="13">
        <v>1</v>
      </c>
      <c r="J705" s="13">
        <v>2</v>
      </c>
      <c r="K705" s="14" t="str">
        <f>HYPERLINK("http://twitter.com","Twitter Web Client")</f>
        <v>Twitter Web Client</v>
      </c>
      <c r="L705" s="13">
        <v>526</v>
      </c>
      <c r="M705" s="13">
        <v>1124</v>
      </c>
      <c r="N705" s="13">
        <v>2</v>
      </c>
      <c r="O705" s="15"/>
      <c r="P705" s="6">
        <v>43275.910474537042</v>
      </c>
      <c r="Q705" s="16" t="s">
        <v>48</v>
      </c>
      <c r="R705" s="17" t="s">
        <v>366</v>
      </c>
      <c r="S705" s="11" t="s">
        <v>367</v>
      </c>
      <c r="T705" s="12"/>
      <c r="U705" s="10" t="str">
        <f>HYPERLINK("https://pbs.twimg.com/profile_images/1047545446925778944/Dh78YVga.jpg","View")</f>
        <v>View</v>
      </c>
    </row>
    <row r="706" spans="1:21" ht="30.6">
      <c r="A706" s="6">
        <v>43440.368645833332</v>
      </c>
      <c r="B706" s="7" t="str">
        <f>HYPERLINK("https://twitter.com/PablooGfer","@PablooGfer")</f>
        <v>@PablooGfer</v>
      </c>
      <c r="C706" s="8" t="s">
        <v>2564</v>
      </c>
      <c r="D706" s="9" t="s">
        <v>2001</v>
      </c>
      <c r="E706" s="10" t="str">
        <f>HYPERLINK("https://twitter.com/PablooGfer/status/1070586353971355649","1070586353971355649")</f>
        <v>1070586353971355649</v>
      </c>
      <c r="F706" s="11" t="s">
        <v>1389</v>
      </c>
      <c r="G706" s="12"/>
      <c r="H706" s="12"/>
      <c r="I706" s="13">
        <v>0</v>
      </c>
      <c r="J706" s="13">
        <v>0</v>
      </c>
      <c r="K706" s="14" t="str">
        <f t="shared" ref="K706:K707" si="124">HYPERLINK("http://twitter.com/download/iphone","Twitter for iPhone")</f>
        <v>Twitter for iPhone</v>
      </c>
      <c r="L706" s="13">
        <v>72</v>
      </c>
      <c r="M706" s="13">
        <v>711</v>
      </c>
      <c r="N706" s="13">
        <v>1</v>
      </c>
      <c r="O706" s="15"/>
      <c r="P706" s="6">
        <v>43175.533275462964</v>
      </c>
      <c r="Q706" s="16" t="s">
        <v>854</v>
      </c>
      <c r="R706" s="17" t="s">
        <v>2565</v>
      </c>
      <c r="S706" s="12"/>
      <c r="T706" s="12"/>
      <c r="U706" s="10" t="str">
        <f>HYPERLINK("https://pbs.twimg.com/profile_images/1054251996612571136/_R3cWV1L.jpg","View")</f>
        <v>View</v>
      </c>
    </row>
    <row r="707" spans="1:21" ht="40.799999999999997">
      <c r="A707" s="6">
        <v>43440.3668287037</v>
      </c>
      <c r="B707" s="7" t="str">
        <f>HYPERLINK("https://twitter.com/diegodelacruz","@diegodelacruz")</f>
        <v>@diegodelacruz</v>
      </c>
      <c r="C707" s="8" t="s">
        <v>1611</v>
      </c>
      <c r="D707" s="9" t="s">
        <v>2566</v>
      </c>
      <c r="E707" s="10" t="str">
        <f>HYPERLINK("https://twitter.com/diegodelacruz/status/1070585694236614656","1070585694236614656")</f>
        <v>1070585694236614656</v>
      </c>
      <c r="F707" s="11" t="s">
        <v>1389</v>
      </c>
      <c r="G707" s="12"/>
      <c r="H707" s="12"/>
      <c r="I707" s="13">
        <v>1</v>
      </c>
      <c r="J707" s="13">
        <v>6</v>
      </c>
      <c r="K707" s="14" t="str">
        <f t="shared" si="124"/>
        <v>Twitter for iPhone</v>
      </c>
      <c r="L707" s="13">
        <v>28071</v>
      </c>
      <c r="M707" s="13">
        <v>984</v>
      </c>
      <c r="N707" s="13">
        <v>627</v>
      </c>
      <c r="O707" s="19" t="s">
        <v>44</v>
      </c>
      <c r="P707" s="6">
        <v>39889.889328703706</v>
      </c>
      <c r="Q707" s="16" t="s">
        <v>191</v>
      </c>
      <c r="R707" s="17" t="s">
        <v>1613</v>
      </c>
      <c r="S707" s="11" t="s">
        <v>1614</v>
      </c>
      <c r="T707" s="12"/>
      <c r="U707" s="10" t="str">
        <f>HYPERLINK("https://pbs.twimg.com/profile_images/957128899934261248/LQ0lBJVI.jpg","View")</f>
        <v>View</v>
      </c>
    </row>
    <row r="708" spans="1:21" ht="30.6">
      <c r="A708" s="6">
        <v>43440.360810185186</v>
      </c>
      <c r="B708" s="7" t="str">
        <f>HYPERLINK("https://twitter.com/MarisadlCruz","@MarisadlCruz")</f>
        <v>@MarisadlCruz</v>
      </c>
      <c r="C708" s="8" t="s">
        <v>2567</v>
      </c>
      <c r="D708" s="9" t="s">
        <v>2568</v>
      </c>
      <c r="E708" s="10" t="str">
        <f>HYPERLINK("https://twitter.com/MarisadlCruz/status/1070583514469449728","1070583514469449728")</f>
        <v>1070583514469449728</v>
      </c>
      <c r="F708" s="11" t="s">
        <v>1389</v>
      </c>
      <c r="G708" s="12"/>
      <c r="H708" s="12"/>
      <c r="I708" s="13">
        <v>0</v>
      </c>
      <c r="J708" s="13">
        <v>1</v>
      </c>
      <c r="K708" s="14" t="str">
        <f>HYPERLINK("http://twitter.com","Twitter Web Client")</f>
        <v>Twitter Web Client</v>
      </c>
      <c r="L708" s="13">
        <v>228</v>
      </c>
      <c r="M708" s="13">
        <v>210</v>
      </c>
      <c r="N708" s="13">
        <v>0</v>
      </c>
      <c r="O708" s="15"/>
      <c r="P708" s="6">
        <v>43206.738229166665</v>
      </c>
      <c r="Q708" s="12"/>
      <c r="R708" s="17" t="s">
        <v>2569</v>
      </c>
      <c r="S708" s="12"/>
      <c r="T708" s="12"/>
      <c r="U708" s="10" t="str">
        <f>HYPERLINK("https://pbs.twimg.com/profile_images/1063922388625227776/WNUUDziV.jpg","View")</f>
        <v>View</v>
      </c>
    </row>
    <row r="709" spans="1:21" ht="20.399999999999999">
      <c r="A709" s="6">
        <v>43440.358530092592</v>
      </c>
      <c r="B709" s="7" t="str">
        <f>HYPERLINK("https://twitter.com/roserous_rosa","@roserous_rosa")</f>
        <v>@roserous_rosa</v>
      </c>
      <c r="C709" s="8" t="s">
        <v>2570</v>
      </c>
      <c r="D709" s="9" t="s">
        <v>2489</v>
      </c>
      <c r="E709" s="10" t="str">
        <f>HYPERLINK("https://twitter.com/roserous_rosa/status/1070582685662367745","1070582685662367745")</f>
        <v>1070582685662367745</v>
      </c>
      <c r="F709" s="11" t="s">
        <v>1389</v>
      </c>
      <c r="G709" s="12"/>
      <c r="H709" s="12"/>
      <c r="I709" s="13">
        <v>0</v>
      </c>
      <c r="J709" s="13">
        <v>0</v>
      </c>
      <c r="K709" s="14" t="str">
        <f>HYPERLINK("http://twitter.com/download/android","Twitter for Android")</f>
        <v>Twitter for Android</v>
      </c>
      <c r="L709" s="13">
        <v>828</v>
      </c>
      <c r="M709" s="13">
        <v>395</v>
      </c>
      <c r="N709" s="13">
        <v>2</v>
      </c>
      <c r="O709" s="15"/>
      <c r="P709" s="6">
        <v>42231.630868055552</v>
      </c>
      <c r="Q709" s="12"/>
      <c r="R709" s="20"/>
      <c r="S709" s="12"/>
      <c r="T709" s="12"/>
      <c r="U709" s="10" t="str">
        <f>HYPERLINK("https://pbs.twimg.com/profile_images/1064657908640698368/Ic8yz8em.jpg","View")</f>
        <v>View</v>
      </c>
    </row>
    <row r="710" spans="1:21" ht="30.6">
      <c r="A710" s="6">
        <v>43440.357337962967</v>
      </c>
      <c r="B710" s="7" t="str">
        <f>HYPERLINK("https://twitter.com/cayetanaAT","@cayetanaAT")</f>
        <v>@cayetanaAT</v>
      </c>
      <c r="C710" s="8" t="s">
        <v>2571</v>
      </c>
      <c r="D710" s="9" t="s">
        <v>2572</v>
      </c>
      <c r="E710" s="10" t="str">
        <f>HYPERLINK("https://twitter.com/cayetanaAT/status/1070582255897202688","1070582255897202688")</f>
        <v>1070582255897202688</v>
      </c>
      <c r="F710" s="11" t="s">
        <v>1389</v>
      </c>
      <c r="G710" s="12"/>
      <c r="H710" s="12"/>
      <c r="I710" s="13">
        <v>88</v>
      </c>
      <c r="J710" s="13">
        <v>241</v>
      </c>
      <c r="K710" s="14" t="str">
        <f t="shared" ref="K710:K711" si="125">HYPERLINK("http://twitter.com/download/iphone","Twitter for iPhone")</f>
        <v>Twitter for iPhone</v>
      </c>
      <c r="L710" s="13">
        <v>50791</v>
      </c>
      <c r="M710" s="13">
        <v>624</v>
      </c>
      <c r="N710" s="13">
        <v>494</v>
      </c>
      <c r="O710" s="15"/>
      <c r="P710" s="6">
        <v>40685.593287037038</v>
      </c>
      <c r="Q710" s="16" t="s">
        <v>232</v>
      </c>
      <c r="R710" s="17" t="s">
        <v>2573</v>
      </c>
      <c r="S710" s="11" t="s">
        <v>2574</v>
      </c>
      <c r="T710" s="12"/>
      <c r="U710" s="10" t="str">
        <f>HYPERLINK("https://pbs.twimg.com/profile_images/1039783165768990720/lW5w4ymD.jpg","View")</f>
        <v>View</v>
      </c>
    </row>
    <row r="711" spans="1:21" ht="30.6">
      <c r="A711" s="6">
        <v>43440.356342592597</v>
      </c>
      <c r="B711" s="7" t="str">
        <f>HYPERLINK("https://twitter.com/montesinospablo","@montesinospablo")</f>
        <v>@montesinospablo</v>
      </c>
      <c r="C711" s="8" t="s">
        <v>2576</v>
      </c>
      <c r="D711" s="9" t="s">
        <v>2577</v>
      </c>
      <c r="E711" s="10" t="str">
        <f>HYPERLINK("https://twitter.com/montesinospablo/status/1070581895245819904","1070581895245819904")</f>
        <v>1070581895245819904</v>
      </c>
      <c r="F711" s="11" t="s">
        <v>1389</v>
      </c>
      <c r="G711" s="12"/>
      <c r="H711" s="12"/>
      <c r="I711" s="13">
        <v>75</v>
      </c>
      <c r="J711" s="13">
        <v>165</v>
      </c>
      <c r="K711" s="14" t="str">
        <f t="shared" si="125"/>
        <v>Twitter for iPhone</v>
      </c>
      <c r="L711" s="13">
        <v>29123</v>
      </c>
      <c r="M711" s="13">
        <v>409</v>
      </c>
      <c r="N711" s="13">
        <v>413</v>
      </c>
      <c r="O711" s="15"/>
      <c r="P711" s="6">
        <v>40724.585590277777</v>
      </c>
      <c r="Q711" s="16" t="s">
        <v>2578</v>
      </c>
      <c r="R711" s="17" t="s">
        <v>2579</v>
      </c>
      <c r="S711" s="11" t="s">
        <v>2580</v>
      </c>
      <c r="T711" s="12"/>
      <c r="U711" s="10" t="str">
        <f>HYPERLINK("https://pbs.twimg.com/profile_images/944519137442791429/E1J9B1C_.jpg","View")</f>
        <v>View</v>
      </c>
    </row>
    <row r="712" spans="1:21" ht="30.6">
      <c r="A712" s="6">
        <v>43440.354178240741</v>
      </c>
      <c r="B712" s="7" t="str">
        <f>HYPERLINK("https://twitter.com/FormulaTV","@FormulaTV")</f>
        <v>@FormulaTV</v>
      </c>
      <c r="C712" s="8" t="s">
        <v>2581</v>
      </c>
      <c r="D712" s="9" t="s">
        <v>2582</v>
      </c>
      <c r="E712" s="10" t="str">
        <f>HYPERLINK("https://twitter.com/FormulaTV/status/1070581109098995712","1070581109098995712")</f>
        <v>1070581109098995712</v>
      </c>
      <c r="F712" s="11" t="s">
        <v>2583</v>
      </c>
      <c r="G712" s="11" t="s">
        <v>2584</v>
      </c>
      <c r="H712" s="12"/>
      <c r="I712" s="13">
        <v>0</v>
      </c>
      <c r="J712" s="13">
        <v>1</v>
      </c>
      <c r="K712" s="14" t="str">
        <f>HYPERLINK("http://www.noxvo.com","Noxvo")</f>
        <v>Noxvo</v>
      </c>
      <c r="L712" s="13">
        <v>310338</v>
      </c>
      <c r="M712" s="13">
        <v>895</v>
      </c>
      <c r="N712" s="13">
        <v>2626</v>
      </c>
      <c r="O712" s="19" t="s">
        <v>44</v>
      </c>
      <c r="P712" s="6">
        <v>39778.002685185187</v>
      </c>
      <c r="Q712" s="12"/>
      <c r="R712" s="17" t="s">
        <v>2585</v>
      </c>
      <c r="S712" s="11" t="s">
        <v>2586</v>
      </c>
      <c r="T712" s="12"/>
      <c r="U712" s="10" t="str">
        <f>HYPERLINK("https://pbs.twimg.com/profile_images/1016331738665152513/n4fp9Dpz.jpg","View")</f>
        <v>View</v>
      </c>
    </row>
    <row r="713" spans="1:21" ht="20.399999999999999">
      <c r="A713" s="6">
        <v>43440.350381944445</v>
      </c>
      <c r="B713" s="7" t="str">
        <f t="shared" ref="B713:B714" si="126">HYPERLINK("https://twitter.com/Vzaino1","@Vzaino1")</f>
        <v>@Vzaino1</v>
      </c>
      <c r="C713" s="8" t="s">
        <v>2587</v>
      </c>
      <c r="D713" s="9" t="s">
        <v>2588</v>
      </c>
      <c r="E713" s="10" t="str">
        <f>HYPERLINK("https://twitter.com/Vzaino1/status/1070579735414104064","1070579735414104064")</f>
        <v>1070579735414104064</v>
      </c>
      <c r="F713" s="11" t="s">
        <v>1389</v>
      </c>
      <c r="G713" s="12"/>
      <c r="H713" s="12"/>
      <c r="I713" s="13">
        <v>0</v>
      </c>
      <c r="J713" s="13">
        <v>0</v>
      </c>
      <c r="K713" s="14" t="str">
        <f t="shared" ref="K713:K715" si="127">HYPERLINK("http://twitter.com","Twitter Web Client")</f>
        <v>Twitter Web Client</v>
      </c>
      <c r="L713" s="13">
        <v>287</v>
      </c>
      <c r="M713" s="13">
        <v>654</v>
      </c>
      <c r="N713" s="13">
        <v>0</v>
      </c>
      <c r="O713" s="15"/>
      <c r="P713" s="6">
        <v>43402.79069444444</v>
      </c>
      <c r="Q713" s="12"/>
      <c r="R713" s="17" t="s">
        <v>2589</v>
      </c>
      <c r="S713" s="12"/>
      <c r="T713" s="12"/>
      <c r="U713" s="19" t="s">
        <v>359</v>
      </c>
    </row>
    <row r="714" spans="1:21" ht="13.2">
      <c r="A714" s="6">
        <v>43440.350173611107</v>
      </c>
      <c r="B714" s="7" t="str">
        <f t="shared" si="126"/>
        <v>@Vzaino1</v>
      </c>
      <c r="C714" s="8" t="s">
        <v>2587</v>
      </c>
      <c r="D714" s="9" t="s">
        <v>2590</v>
      </c>
      <c r="E714" s="10" t="str">
        <f>HYPERLINK("https://twitter.com/Vzaino1/status/1070579658532536320","1070579658532536320")</f>
        <v>1070579658532536320</v>
      </c>
      <c r="F714" s="11" t="s">
        <v>1764</v>
      </c>
      <c r="G714" s="12"/>
      <c r="H714" s="12"/>
      <c r="I714" s="13">
        <v>0</v>
      </c>
      <c r="J714" s="13">
        <v>0</v>
      </c>
      <c r="K714" s="14" t="str">
        <f t="shared" si="127"/>
        <v>Twitter Web Client</v>
      </c>
      <c r="L714" s="13">
        <v>287</v>
      </c>
      <c r="M714" s="13">
        <v>654</v>
      </c>
      <c r="N714" s="13">
        <v>0</v>
      </c>
      <c r="O714" s="15"/>
      <c r="P714" s="6">
        <v>43402.79069444444</v>
      </c>
      <c r="Q714" s="12"/>
      <c r="R714" s="17" t="s">
        <v>2589</v>
      </c>
      <c r="S714" s="12"/>
      <c r="T714" s="12"/>
      <c r="U714" s="19" t="s">
        <v>359</v>
      </c>
    </row>
    <row r="715" spans="1:21" ht="20.399999999999999">
      <c r="A715" s="6">
        <v>43440.350069444445</v>
      </c>
      <c r="B715" s="7" t="str">
        <f>HYPERLINK("https://twitter.com/albertiwell","@albertiwell")</f>
        <v>@albertiwell</v>
      </c>
      <c r="C715" s="8" t="s">
        <v>2591</v>
      </c>
      <c r="D715" s="9" t="s">
        <v>2463</v>
      </c>
      <c r="E715" s="10" t="str">
        <f>HYPERLINK("https://twitter.com/albertiwell/status/1070579618585960450","1070579618585960450")</f>
        <v>1070579618585960450</v>
      </c>
      <c r="F715" s="11" t="s">
        <v>1389</v>
      </c>
      <c r="G715" s="12"/>
      <c r="H715" s="12"/>
      <c r="I715" s="13">
        <v>0</v>
      </c>
      <c r="J715" s="13">
        <v>0</v>
      </c>
      <c r="K715" s="14" t="str">
        <f t="shared" si="127"/>
        <v>Twitter Web Client</v>
      </c>
      <c r="L715" s="13">
        <v>81</v>
      </c>
      <c r="M715" s="13">
        <v>331</v>
      </c>
      <c r="N715" s="13">
        <v>9</v>
      </c>
      <c r="O715" s="15"/>
      <c r="P715" s="6">
        <v>40701.940520833334</v>
      </c>
      <c r="Q715" s="12"/>
      <c r="R715" s="17" t="s">
        <v>2592</v>
      </c>
      <c r="S715" s="12"/>
      <c r="T715" s="12"/>
      <c r="U715" s="10" t="str">
        <f>HYPERLINK("https://pbs.twimg.com/profile_images/961928276276105217/1Enooc8J.jpg","View")</f>
        <v>View</v>
      </c>
    </row>
    <row r="716" spans="1:21" ht="40.799999999999997">
      <c r="A716" s="6">
        <v>43440.341990740737</v>
      </c>
      <c r="B716" s="7" t="str">
        <f>HYPERLINK("https://twitter.com/altorrijos_","@altorrijos_")</f>
        <v>@altorrijos_</v>
      </c>
      <c r="C716" s="8" t="s">
        <v>2593</v>
      </c>
      <c r="D716" s="9" t="s">
        <v>2594</v>
      </c>
      <c r="E716" s="10" t="str">
        <f>HYPERLINK("https://twitter.com/altorrijos_/status/1070576694338170880","1070576694338170880")</f>
        <v>1070576694338170880</v>
      </c>
      <c r="F716" s="11" t="s">
        <v>2595</v>
      </c>
      <c r="G716" s="12"/>
      <c r="H716" s="12"/>
      <c r="I716" s="13">
        <v>3</v>
      </c>
      <c r="J716" s="13">
        <v>4</v>
      </c>
      <c r="K716" s="14" t="str">
        <f>HYPERLINK("http://twitter.com/download/iphone","Twitter for iPhone")</f>
        <v>Twitter for iPhone</v>
      </c>
      <c r="L716" s="13">
        <v>4429</v>
      </c>
      <c r="M716" s="13">
        <v>1128</v>
      </c>
      <c r="N716" s="13">
        <v>34</v>
      </c>
      <c r="O716" s="15"/>
      <c r="P716" s="6">
        <v>42798.887002314819</v>
      </c>
      <c r="Q716" s="16" t="s">
        <v>48</v>
      </c>
      <c r="R716" s="17" t="s">
        <v>2596</v>
      </c>
      <c r="S716" s="11" t="s">
        <v>2597</v>
      </c>
      <c r="T716" s="12"/>
      <c r="U716" s="10" t="str">
        <f>HYPERLINK("https://pbs.twimg.com/profile_images/865360986542362624/ZUHy7abz.jpg","View")</f>
        <v>View</v>
      </c>
    </row>
    <row r="717" spans="1:21" ht="30.6">
      <c r="A717" s="6">
        <v>43440.303472222222</v>
      </c>
      <c r="B717" s="7" t="str">
        <f>HYPERLINK("https://twitter.com/g_palmira","@g_palmira")</f>
        <v>@g_palmira</v>
      </c>
      <c r="C717" s="8" t="s">
        <v>2598</v>
      </c>
      <c r="D717" s="9" t="s">
        <v>2463</v>
      </c>
      <c r="E717" s="10" t="str">
        <f>HYPERLINK("https://twitter.com/g_palmira/status/1070562733848961025","1070562733848961025")</f>
        <v>1070562733848961025</v>
      </c>
      <c r="F717" s="11" t="s">
        <v>1389</v>
      </c>
      <c r="G717" s="12"/>
      <c r="H717" s="12"/>
      <c r="I717" s="13">
        <v>0</v>
      </c>
      <c r="J717" s="13">
        <v>0</v>
      </c>
      <c r="K717" s="14" t="str">
        <f>HYPERLINK("http://twitter.com/#!/download/ipad","Twitter for iPad")</f>
        <v>Twitter for iPad</v>
      </c>
      <c r="L717" s="13">
        <v>1460</v>
      </c>
      <c r="M717" s="13">
        <v>1448</v>
      </c>
      <c r="N717" s="13">
        <v>0</v>
      </c>
      <c r="O717" s="15"/>
      <c r="P717" s="6">
        <v>41005.74019675926</v>
      </c>
      <c r="Q717" s="12"/>
      <c r="R717" s="17" t="s">
        <v>2599</v>
      </c>
      <c r="S717" s="12"/>
      <c r="T717" s="12"/>
      <c r="U717" s="10" t="str">
        <f>HYPERLINK("https://pbs.twimg.com/profile_images/1057639071927885824/O5EfhEom.jpg","View")</f>
        <v>View</v>
      </c>
    </row>
    <row r="718" spans="1:21" ht="40.799999999999997">
      <c r="A718" s="6">
        <v>43440.302662037036</v>
      </c>
      <c r="B718" s="7" t="str">
        <f>HYPERLINK("https://twitter.com/RadioTemplo","@RadioTemplo")</f>
        <v>@RadioTemplo</v>
      </c>
      <c r="C718" s="8" t="s">
        <v>2600</v>
      </c>
      <c r="D718" s="9" t="s">
        <v>2601</v>
      </c>
      <c r="E718" s="10" t="str">
        <f>HYPERLINK("https://twitter.com/RadioTemplo/status/1070562439262072832","1070562439262072832")</f>
        <v>1070562439262072832</v>
      </c>
      <c r="F718" s="11" t="s">
        <v>2602</v>
      </c>
      <c r="G718" s="12"/>
      <c r="H718" s="12"/>
      <c r="I718" s="13">
        <v>0</v>
      </c>
      <c r="J718" s="13">
        <v>0</v>
      </c>
      <c r="K718" s="14" t="str">
        <f>HYPERLINK("http://twitter.com","Twitter Web Client")</f>
        <v>Twitter Web Client</v>
      </c>
      <c r="L718" s="13">
        <v>1224</v>
      </c>
      <c r="M718" s="13">
        <v>2223</v>
      </c>
      <c r="N718" s="13">
        <v>2</v>
      </c>
      <c r="O718" s="15"/>
      <c r="P718" s="6">
        <v>40233.702962962961</v>
      </c>
      <c r="Q718" s="16" t="s">
        <v>2603</v>
      </c>
      <c r="R718" s="17" t="s">
        <v>2604</v>
      </c>
      <c r="S718" s="12"/>
      <c r="T718" s="12"/>
      <c r="U718" s="10" t="str">
        <f>HYPERLINK("https://pbs.twimg.com/profile_images/986612904773521410/FnzZruZD.jpg","View")</f>
        <v>View</v>
      </c>
    </row>
    <row r="719" spans="1:21" ht="40.799999999999997">
      <c r="A719" s="6">
        <v>43440.291666666672</v>
      </c>
      <c r="B719" s="7" t="str">
        <f>HYPERLINK("https://twitter.com/El_Plural","@El_Plural")</f>
        <v>@El_Plural</v>
      </c>
      <c r="C719" s="8" t="s">
        <v>507</v>
      </c>
      <c r="D719" s="9" t="s">
        <v>1507</v>
      </c>
      <c r="E719" s="10" t="str">
        <f>HYPERLINK("https://twitter.com/El_Plural/status/1070558454689890304","1070558454689890304")</f>
        <v>1070558454689890304</v>
      </c>
      <c r="F719" s="11" t="s">
        <v>1511</v>
      </c>
      <c r="G719" s="12"/>
      <c r="H719" s="12"/>
      <c r="I719" s="13">
        <v>68</v>
      </c>
      <c r="J719" s="13">
        <v>27</v>
      </c>
      <c r="K719" s="14" t="str">
        <f>HYPERLINK("https://about.twitter.com/products/tweetdeck","TweetDeck")</f>
        <v>TweetDeck</v>
      </c>
      <c r="L719" s="13">
        <v>72031</v>
      </c>
      <c r="M719" s="13">
        <v>1650</v>
      </c>
      <c r="N719" s="13">
        <v>2018</v>
      </c>
      <c r="O719" s="15"/>
      <c r="P719" s="6">
        <v>40351.51053240741</v>
      </c>
      <c r="Q719" s="16" t="s">
        <v>48</v>
      </c>
      <c r="R719" s="17" t="s">
        <v>510</v>
      </c>
      <c r="S719" s="11" t="s">
        <v>511</v>
      </c>
      <c r="T719" s="12"/>
      <c r="U719" s="10" t="str">
        <f>HYPERLINK("https://pbs.twimg.com/profile_images/1017707018138857473/kUt8X2tn.jpg","View")</f>
        <v>View</v>
      </c>
    </row>
    <row r="720" spans="1:21" ht="51">
      <c r="A720" s="6">
        <v>43440.280740740738</v>
      </c>
      <c r="B720" s="7" t="str">
        <f>HYPERLINK("https://twitter.com/jesus_pga","@jesus_pga")</f>
        <v>@jesus_pga</v>
      </c>
      <c r="C720" s="8" t="s">
        <v>2605</v>
      </c>
      <c r="D720" s="9" t="s">
        <v>2606</v>
      </c>
      <c r="E720" s="10" t="str">
        <f>HYPERLINK("https://twitter.com/jesus_pga/status/1070554495220895744","1070554495220895744")</f>
        <v>1070554495220895744</v>
      </c>
      <c r="F720" s="11" t="s">
        <v>2607</v>
      </c>
      <c r="G720" s="12"/>
      <c r="H720" s="12"/>
      <c r="I720" s="13">
        <v>0</v>
      </c>
      <c r="J720" s="13">
        <v>0</v>
      </c>
      <c r="K720" s="14" t="str">
        <f>HYPERLINK("http://twitter.com/download/android","Twitter for Android")</f>
        <v>Twitter for Android</v>
      </c>
      <c r="L720" s="13">
        <v>219</v>
      </c>
      <c r="M720" s="13">
        <v>181</v>
      </c>
      <c r="N720" s="13">
        <v>8</v>
      </c>
      <c r="O720" s="15"/>
      <c r="P720" s="6">
        <v>41858.374571759261</v>
      </c>
      <c r="Q720" s="16" t="s">
        <v>2608</v>
      </c>
      <c r="R720" s="17" t="s">
        <v>2609</v>
      </c>
      <c r="S720" s="12"/>
      <c r="T720" s="12"/>
      <c r="U720" s="10" t="str">
        <f>HYPERLINK("https://pbs.twimg.com/profile_images/753002159583690753/E47aRUdS.jpg","View")</f>
        <v>View</v>
      </c>
    </row>
    <row r="721" spans="1:21" ht="40.799999999999997">
      <c r="A721" s="6">
        <v>43440.267430555556</v>
      </c>
      <c r="B721" s="7" t="str">
        <f>HYPERLINK("https://twitter.com/lextresabogados","@lextresabogados")</f>
        <v>@lextresabogados</v>
      </c>
      <c r="C721" s="8" t="s">
        <v>1379</v>
      </c>
      <c r="D721" s="9" t="s">
        <v>2610</v>
      </c>
      <c r="E721" s="10" t="str">
        <f>HYPERLINK("https://twitter.com/lextresabogados/status/1070549671439933440","1070549671439933440")</f>
        <v>1070549671439933440</v>
      </c>
      <c r="F721" s="11" t="s">
        <v>2611</v>
      </c>
      <c r="G721" s="12"/>
      <c r="H721" s="12"/>
      <c r="I721" s="13">
        <v>0</v>
      </c>
      <c r="J721" s="13">
        <v>0</v>
      </c>
      <c r="K721" s="14" t="str">
        <f>HYPERLINK("http://35.180.36.179","botize nueva")</f>
        <v>botize nueva</v>
      </c>
      <c r="L721" s="13">
        <v>2912</v>
      </c>
      <c r="M721" s="13">
        <v>3525</v>
      </c>
      <c r="N721" s="13">
        <v>26</v>
      </c>
      <c r="O721" s="15"/>
      <c r="P721" s="6">
        <v>42880.770949074074</v>
      </c>
      <c r="Q721" s="16" t="s">
        <v>1130</v>
      </c>
      <c r="R721" s="17" t="s">
        <v>1383</v>
      </c>
      <c r="S721" s="11" t="s">
        <v>1384</v>
      </c>
      <c r="T721" s="12"/>
      <c r="U721" s="10" t="str">
        <f>HYPERLINK("https://pbs.twimg.com/profile_images/1068056978679898113/YnjKwiVy.jpg","View")</f>
        <v>View</v>
      </c>
    </row>
    <row r="722" spans="1:21" ht="30.6">
      <c r="A722" s="6">
        <v>43440.266736111109</v>
      </c>
      <c r="B722" s="7" t="str">
        <f>HYPERLINK("https://twitter.com/diariolirico","@diariolirico")</f>
        <v>@diariolirico</v>
      </c>
      <c r="C722" s="8" t="s">
        <v>2174</v>
      </c>
      <c r="D722" s="9" t="s">
        <v>2612</v>
      </c>
      <c r="E722" s="10" t="str">
        <f>HYPERLINK("https://twitter.com/diariolirico/status/1070549420414881793","1070549420414881793")</f>
        <v>1070549420414881793</v>
      </c>
      <c r="F722" s="11" t="s">
        <v>2613</v>
      </c>
      <c r="G722" s="11" t="s">
        <v>2614</v>
      </c>
      <c r="H722" s="12"/>
      <c r="I722" s="13">
        <v>0</v>
      </c>
      <c r="J722" s="13">
        <v>0</v>
      </c>
      <c r="K722" s="14" t="str">
        <f t="shared" ref="K722:K723" si="128">HYPERLINK("https://dlvrit.com/","dlvr.it")</f>
        <v>dlvr.it</v>
      </c>
      <c r="L722" s="13">
        <v>207</v>
      </c>
      <c r="M722" s="13">
        <v>10</v>
      </c>
      <c r="N722" s="13">
        <v>8</v>
      </c>
      <c r="O722" s="15"/>
      <c r="P722" s="6">
        <v>41926.263796296298</v>
      </c>
      <c r="Q722" s="16" t="s">
        <v>191</v>
      </c>
      <c r="R722" s="17" t="s">
        <v>2177</v>
      </c>
      <c r="S722" s="11" t="s">
        <v>2178</v>
      </c>
      <c r="T722" s="12"/>
      <c r="U722" s="10" t="str">
        <f>HYPERLINK("https://pbs.twimg.com/profile_images/521879570333454338/ssFE5bOK.jpeg","View")</f>
        <v>View</v>
      </c>
    </row>
    <row r="723" spans="1:21" ht="30.6">
      <c r="A723" s="6">
        <v>43440.266574074078</v>
      </c>
      <c r="B723" s="7" t="str">
        <f>HYPERLINK("https://twitter.com/libertaddigital","@libertaddigital")</f>
        <v>@libertaddigital</v>
      </c>
      <c r="C723" s="8" t="s">
        <v>2615</v>
      </c>
      <c r="D723" s="9" t="s">
        <v>2610</v>
      </c>
      <c r="E723" s="10" t="str">
        <f>HYPERLINK("https://twitter.com/libertaddigital/status/1070549362214760448","1070549362214760448")</f>
        <v>1070549362214760448</v>
      </c>
      <c r="F723" s="11" t="s">
        <v>2611</v>
      </c>
      <c r="G723" s="12"/>
      <c r="H723" s="12"/>
      <c r="I723" s="13">
        <v>7</v>
      </c>
      <c r="J723" s="13">
        <v>18</v>
      </c>
      <c r="K723" s="14" t="str">
        <f t="shared" si="128"/>
        <v>dlvr.it</v>
      </c>
      <c r="L723" s="13">
        <v>126263</v>
      </c>
      <c r="M723" s="13">
        <v>562</v>
      </c>
      <c r="N723" s="13">
        <v>2383</v>
      </c>
      <c r="O723" s="19" t="s">
        <v>44</v>
      </c>
      <c r="P723" s="6">
        <v>39899.727141203708</v>
      </c>
      <c r="Q723" s="16" t="s">
        <v>191</v>
      </c>
      <c r="R723" s="17" t="s">
        <v>2616</v>
      </c>
      <c r="S723" s="11" t="s">
        <v>2617</v>
      </c>
      <c r="T723" s="12"/>
      <c r="U723" s="10" t="str">
        <f>HYPERLINK("https://pbs.twimg.com/profile_images/913700935603499008/ifTjXKGZ.jpg","View")</f>
        <v>View</v>
      </c>
    </row>
    <row r="724" spans="1:21" ht="30.6">
      <c r="A724" s="6">
        <v>43440.259513888886</v>
      </c>
      <c r="B724" s="7" t="str">
        <f>HYPERLINK("https://twitter.com/cuin1425","@cuin1425")</f>
        <v>@cuin1425</v>
      </c>
      <c r="C724" s="8" t="s">
        <v>2618</v>
      </c>
      <c r="D724" s="9" t="s">
        <v>2619</v>
      </c>
      <c r="E724" s="10" t="str">
        <f>HYPERLINK("https://twitter.com/cuin1425/status/1070546805853749248","1070546805853749248")</f>
        <v>1070546805853749248</v>
      </c>
      <c r="F724" s="11" t="s">
        <v>1389</v>
      </c>
      <c r="G724" s="12"/>
      <c r="H724" s="12"/>
      <c r="I724" s="13">
        <v>0</v>
      </c>
      <c r="J724" s="13">
        <v>0</v>
      </c>
      <c r="K724" s="14" t="str">
        <f>HYPERLINK("http://www.facebook.com/twitter","Facebook")</f>
        <v>Facebook</v>
      </c>
      <c r="L724" s="13">
        <v>580</v>
      </c>
      <c r="M724" s="13">
        <v>977</v>
      </c>
      <c r="N724" s="13">
        <v>13</v>
      </c>
      <c r="O724" s="15"/>
      <c r="P724" s="6">
        <v>40274.437928240739</v>
      </c>
      <c r="Q724" s="16" t="s">
        <v>2620</v>
      </c>
      <c r="R724" s="17" t="s">
        <v>2621</v>
      </c>
      <c r="S724" s="12"/>
      <c r="T724" s="12"/>
      <c r="U724" s="10" t="str">
        <f>HYPERLINK("https://pbs.twimg.com/profile_images/820055555305832448/qbgSwEuX.jpg","View")</f>
        <v>View</v>
      </c>
    </row>
    <row r="725" spans="1:21" ht="40.799999999999997">
      <c r="A725" s="6">
        <v>43440.243113425924</v>
      </c>
      <c r="B725" s="7" t="str">
        <f>HYPERLINK("https://twitter.com/PaoRoldan1","@PaoRoldan1")</f>
        <v>@PaoRoldan1</v>
      </c>
      <c r="C725" s="8" t="s">
        <v>2622</v>
      </c>
      <c r="D725" s="9" t="s">
        <v>2623</v>
      </c>
      <c r="E725" s="10" t="str">
        <f>HYPERLINK("https://twitter.com/PaoRoldan1/status/1070540858938798080","1070540858938798080")</f>
        <v>1070540858938798080</v>
      </c>
      <c r="F725" s="12"/>
      <c r="G725" s="12"/>
      <c r="H725" s="12"/>
      <c r="I725" s="13">
        <v>0</v>
      </c>
      <c r="J725" s="13">
        <v>0</v>
      </c>
      <c r="K725" s="14" t="str">
        <f>HYPERLINK("http://twitter.com/download/android","Twitter for Android")</f>
        <v>Twitter for Android</v>
      </c>
      <c r="L725" s="13">
        <v>576</v>
      </c>
      <c r="M725" s="13">
        <v>522</v>
      </c>
      <c r="N725" s="13">
        <v>2</v>
      </c>
      <c r="O725" s="15"/>
      <c r="P725" s="6">
        <v>41513.025254629625</v>
      </c>
      <c r="Q725" s="12"/>
      <c r="R725" s="17" t="s">
        <v>2624</v>
      </c>
      <c r="S725" s="12"/>
      <c r="T725" s="12"/>
      <c r="U725" s="10" t="str">
        <f>HYPERLINK("https://pbs.twimg.com/profile_images/1055312568271671296/Q99_KZWb.jpg","View")</f>
        <v>View</v>
      </c>
    </row>
    <row r="726" spans="1:21" ht="40.799999999999997">
      <c r="A726" s="6">
        <v>43440.205312499995</v>
      </c>
      <c r="B726" s="7" t="str">
        <f>HYPERLINK("https://twitter.com/eslamananadeFJL","@eslamananadeFJL")</f>
        <v>@eslamananadeFJL</v>
      </c>
      <c r="C726" s="8" t="s">
        <v>2625</v>
      </c>
      <c r="D726" s="9" t="s">
        <v>2463</v>
      </c>
      <c r="E726" s="10" t="str">
        <f>HYPERLINK("https://twitter.com/eslamananadeFJL/status/1070527162858528768","1070527162858528768")</f>
        <v>1070527162858528768</v>
      </c>
      <c r="F726" s="11" t="s">
        <v>1389</v>
      </c>
      <c r="G726" s="12"/>
      <c r="H726" s="12"/>
      <c r="I726" s="13">
        <v>8</v>
      </c>
      <c r="J726" s="13">
        <v>34</v>
      </c>
      <c r="K726" s="14" t="str">
        <f t="shared" ref="K726:K729" si="129">HYPERLINK("http://twitter.com","Twitter Web Client")</f>
        <v>Twitter Web Client</v>
      </c>
      <c r="L726" s="13">
        <v>69631</v>
      </c>
      <c r="M726" s="13">
        <v>1575</v>
      </c>
      <c r="N726" s="13">
        <v>658</v>
      </c>
      <c r="O726" s="19" t="s">
        <v>44</v>
      </c>
      <c r="P726" s="6">
        <v>40926.331504629634</v>
      </c>
      <c r="Q726" s="16" t="s">
        <v>2626</v>
      </c>
      <c r="R726" s="17" t="s">
        <v>2627</v>
      </c>
      <c r="S726" s="11" t="s">
        <v>2628</v>
      </c>
      <c r="T726" s="12"/>
      <c r="U726" s="10" t="str">
        <f>HYPERLINK("https://pbs.twimg.com/profile_images/2149735983/fede1.jpg","View")</f>
        <v>View</v>
      </c>
    </row>
    <row r="727" spans="1:21" ht="40.799999999999997">
      <c r="A727" s="6">
        <v>43440.204270833332</v>
      </c>
      <c r="B727" s="7" t="str">
        <f>HYPERLINK("https://twitter.com/DamasdBlanco","@DamasdBlanco")</f>
        <v>@DamasdBlanco</v>
      </c>
      <c r="C727" s="8" t="s">
        <v>2629</v>
      </c>
      <c r="D727" s="9" t="s">
        <v>2463</v>
      </c>
      <c r="E727" s="10" t="str">
        <f>HYPERLINK("https://twitter.com/DamasdBlanco/status/1070526783244640256","1070526783244640256")</f>
        <v>1070526783244640256</v>
      </c>
      <c r="F727" s="11" t="s">
        <v>1389</v>
      </c>
      <c r="G727" s="12"/>
      <c r="H727" s="12"/>
      <c r="I727" s="13">
        <v>4</v>
      </c>
      <c r="J727" s="13">
        <v>2</v>
      </c>
      <c r="K727" s="14" t="str">
        <f t="shared" si="129"/>
        <v>Twitter Web Client</v>
      </c>
      <c r="L727" s="13">
        <v>28258</v>
      </c>
      <c r="M727" s="13">
        <v>3229</v>
      </c>
      <c r="N727" s="13">
        <v>439</v>
      </c>
      <c r="O727" s="15"/>
      <c r="P727" s="6">
        <v>40295.827615740738</v>
      </c>
      <c r="Q727" s="16" t="s">
        <v>2630</v>
      </c>
      <c r="R727" s="17" t="s">
        <v>2631</v>
      </c>
      <c r="S727" s="11" t="s">
        <v>2632</v>
      </c>
      <c r="T727" s="12"/>
      <c r="U727" s="10" t="str">
        <f>HYPERLINK("https://pbs.twimg.com/profile_images/1048363394942865408/L7MW1vT-.jpg","View")</f>
        <v>View</v>
      </c>
    </row>
    <row r="728" spans="1:21" ht="40.799999999999997">
      <c r="A728" s="6">
        <v>43440.202592592592</v>
      </c>
      <c r="B728" s="7" t="str">
        <f>HYPERLINK("https://twitter.com/RadioTemplo","@RadioTemplo")</f>
        <v>@RadioTemplo</v>
      </c>
      <c r="C728" s="8" t="s">
        <v>2600</v>
      </c>
      <c r="D728" s="9" t="s">
        <v>2633</v>
      </c>
      <c r="E728" s="10" t="str">
        <f>HYPERLINK("https://twitter.com/RadioTemplo/status/1070526176257560576","1070526176257560576")</f>
        <v>1070526176257560576</v>
      </c>
      <c r="F728" s="11" t="s">
        <v>2602</v>
      </c>
      <c r="G728" s="12"/>
      <c r="H728" s="12"/>
      <c r="I728" s="13">
        <v>0</v>
      </c>
      <c r="J728" s="13">
        <v>0</v>
      </c>
      <c r="K728" s="14" t="str">
        <f t="shared" si="129"/>
        <v>Twitter Web Client</v>
      </c>
      <c r="L728" s="13">
        <v>1224</v>
      </c>
      <c r="M728" s="13">
        <v>2223</v>
      </c>
      <c r="N728" s="13">
        <v>2</v>
      </c>
      <c r="O728" s="15"/>
      <c r="P728" s="6">
        <v>40233.702962962961</v>
      </c>
      <c r="Q728" s="16" t="s">
        <v>2603</v>
      </c>
      <c r="R728" s="17" t="s">
        <v>2604</v>
      </c>
      <c r="S728" s="12"/>
      <c r="T728" s="12"/>
      <c r="U728" s="10" t="str">
        <f>HYPERLINK("https://pbs.twimg.com/profile_images/986612904773521410/FnzZruZD.jpg","View")</f>
        <v>View</v>
      </c>
    </row>
    <row r="729" spans="1:21" ht="20.399999999999999">
      <c r="A729" s="6">
        <v>43440.201516203699</v>
      </c>
      <c r="B729" s="7" t="str">
        <f>HYPERLINK("https://twitter.com/samocar","@samocar")</f>
        <v>@samocar</v>
      </c>
      <c r="C729" s="8" t="s">
        <v>2634</v>
      </c>
      <c r="D729" s="9" t="s">
        <v>2463</v>
      </c>
      <c r="E729" s="10" t="str">
        <f>HYPERLINK("https://twitter.com/samocar/status/1070525787865010178","1070525787865010178")</f>
        <v>1070525787865010178</v>
      </c>
      <c r="F729" s="11" t="s">
        <v>1389</v>
      </c>
      <c r="G729" s="12"/>
      <c r="H729" s="12"/>
      <c r="I729" s="13">
        <v>0</v>
      </c>
      <c r="J729" s="13">
        <v>0</v>
      </c>
      <c r="K729" s="14" t="str">
        <f t="shared" si="129"/>
        <v>Twitter Web Client</v>
      </c>
      <c r="L729" s="13">
        <v>177</v>
      </c>
      <c r="M729" s="13">
        <v>1395</v>
      </c>
      <c r="N729" s="13">
        <v>6</v>
      </c>
      <c r="O729" s="15"/>
      <c r="P729" s="6">
        <v>40543.277141203704</v>
      </c>
      <c r="Q729" s="12"/>
      <c r="R729" s="20"/>
      <c r="S729" s="12"/>
      <c r="T729" s="12"/>
      <c r="U729" s="19" t="s">
        <v>359</v>
      </c>
    </row>
    <row r="730" spans="1:21" ht="30.6">
      <c r="A730" s="6">
        <v>43440.190405092595</v>
      </c>
      <c r="B730" s="7" t="str">
        <f t="shared" ref="B730:B732" si="130">HYPERLINK("https://twitter.com/diariolirico","@diariolirico")</f>
        <v>@diariolirico</v>
      </c>
      <c r="C730" s="8" t="s">
        <v>2174</v>
      </c>
      <c r="D730" s="9" t="s">
        <v>2612</v>
      </c>
      <c r="E730" s="10" t="str">
        <f>HYPERLINK("https://twitter.com/diariolirico/status/1070521758854332416","1070521758854332416")</f>
        <v>1070521758854332416</v>
      </c>
      <c r="F730" s="11" t="s">
        <v>2635</v>
      </c>
      <c r="G730" s="12"/>
      <c r="H730" s="12"/>
      <c r="I730" s="13">
        <v>0</v>
      </c>
      <c r="J730" s="13">
        <v>0</v>
      </c>
      <c r="K730" s="14" t="str">
        <f>HYPERLINK("http://www.facebook.com/twitter","Facebook")</f>
        <v>Facebook</v>
      </c>
      <c r="L730" s="13">
        <v>207</v>
      </c>
      <c r="M730" s="13">
        <v>10</v>
      </c>
      <c r="N730" s="13">
        <v>8</v>
      </c>
      <c r="O730" s="15"/>
      <c r="P730" s="6">
        <v>41926.263796296298</v>
      </c>
      <c r="Q730" s="16" t="s">
        <v>191</v>
      </c>
      <c r="R730" s="17" t="s">
        <v>2177</v>
      </c>
      <c r="S730" s="11" t="s">
        <v>2178</v>
      </c>
      <c r="T730" s="12"/>
      <c r="U730" s="10" t="str">
        <f t="shared" ref="U730:U732" si="131">HYPERLINK("https://pbs.twimg.com/profile_images/521879570333454338/ssFE5bOK.jpeg","View")</f>
        <v>View</v>
      </c>
    </row>
    <row r="731" spans="1:21" ht="30.6">
      <c r="A731" s="6">
        <v>43440.189618055556</v>
      </c>
      <c r="B731" s="7" t="str">
        <f t="shared" si="130"/>
        <v>@diariolirico</v>
      </c>
      <c r="C731" s="8" t="s">
        <v>2174</v>
      </c>
      <c r="D731" s="9" t="s">
        <v>2612</v>
      </c>
      <c r="E731" s="10" t="str">
        <f>HYPERLINK("https://twitter.com/diariolirico/status/1070521474526601216","1070521474526601216")</f>
        <v>1070521474526601216</v>
      </c>
      <c r="F731" s="11" t="s">
        <v>2636</v>
      </c>
      <c r="G731" s="11" t="s">
        <v>2637</v>
      </c>
      <c r="H731" s="12"/>
      <c r="I731" s="13">
        <v>0</v>
      </c>
      <c r="J731" s="13">
        <v>0</v>
      </c>
      <c r="K731" s="14" t="str">
        <f>HYPERLINK("https://dlvrit.com/","dlvr.it")</f>
        <v>dlvr.it</v>
      </c>
      <c r="L731" s="13">
        <v>207</v>
      </c>
      <c r="M731" s="13">
        <v>10</v>
      </c>
      <c r="N731" s="13">
        <v>8</v>
      </c>
      <c r="O731" s="15"/>
      <c r="P731" s="6">
        <v>41926.263796296298</v>
      </c>
      <c r="Q731" s="16" t="s">
        <v>191</v>
      </c>
      <c r="R731" s="17" t="s">
        <v>2177</v>
      </c>
      <c r="S731" s="11" t="s">
        <v>2178</v>
      </c>
      <c r="T731" s="12"/>
      <c r="U731" s="10" t="str">
        <f t="shared" si="131"/>
        <v>View</v>
      </c>
    </row>
    <row r="732" spans="1:21" ht="20.399999999999999">
      <c r="A732" s="6">
        <v>43440.184976851851</v>
      </c>
      <c r="B732" s="7" t="str">
        <f t="shared" si="130"/>
        <v>@diariolirico</v>
      </c>
      <c r="C732" s="8" t="s">
        <v>2174</v>
      </c>
      <c r="D732" s="9" t="s">
        <v>2638</v>
      </c>
      <c r="E732" s="10" t="str">
        <f>HYPERLINK("https://twitter.com/diariolirico/status/1070519793592229888","1070519793592229888")</f>
        <v>1070519793592229888</v>
      </c>
      <c r="F732" s="11" t="s">
        <v>2639</v>
      </c>
      <c r="G732" s="12"/>
      <c r="H732" s="12"/>
      <c r="I732" s="13">
        <v>0</v>
      </c>
      <c r="J732" s="13">
        <v>1</v>
      </c>
      <c r="K732" s="14" t="str">
        <f>HYPERLINK("https://www.google.com/","Google")</f>
        <v>Google</v>
      </c>
      <c r="L732" s="13">
        <v>207</v>
      </c>
      <c r="M732" s="13">
        <v>10</v>
      </c>
      <c r="N732" s="13">
        <v>8</v>
      </c>
      <c r="O732" s="15"/>
      <c r="P732" s="6">
        <v>41926.263796296298</v>
      </c>
      <c r="Q732" s="16" t="s">
        <v>191</v>
      </c>
      <c r="R732" s="17" t="s">
        <v>2177</v>
      </c>
      <c r="S732" s="11" t="s">
        <v>2178</v>
      </c>
      <c r="T732" s="12"/>
      <c r="U732" s="10" t="str">
        <f t="shared" si="131"/>
        <v>View</v>
      </c>
    </row>
    <row r="733" spans="1:21" ht="40.799999999999997">
      <c r="A733" s="6">
        <v>43440.170185185183</v>
      </c>
      <c r="B733" s="7" t="str">
        <f>HYPERLINK("https://twitter.com/lextresabogados","@lextresabogados")</f>
        <v>@lextresabogados</v>
      </c>
      <c r="C733" s="8" t="s">
        <v>1379</v>
      </c>
      <c r="D733" s="9" t="s">
        <v>1843</v>
      </c>
      <c r="E733" s="10" t="str">
        <f>HYPERLINK("https://twitter.com/lextresabogados/status/1070514433053614081","1070514433053614081")</f>
        <v>1070514433053614081</v>
      </c>
      <c r="F733" s="11" t="s">
        <v>2640</v>
      </c>
      <c r="G733" s="12"/>
      <c r="H733" s="12"/>
      <c r="I733" s="13">
        <v>0</v>
      </c>
      <c r="J733" s="13">
        <v>0</v>
      </c>
      <c r="K733" s="14" t="str">
        <f>HYPERLINK("http://35.180.36.179","botize nueva")</f>
        <v>botize nueva</v>
      </c>
      <c r="L733" s="13">
        <v>2912</v>
      </c>
      <c r="M733" s="13">
        <v>3525</v>
      </c>
      <c r="N733" s="13">
        <v>26</v>
      </c>
      <c r="O733" s="15"/>
      <c r="P733" s="6">
        <v>42880.770949074074</v>
      </c>
      <c r="Q733" s="16" t="s">
        <v>1130</v>
      </c>
      <c r="R733" s="17" t="s">
        <v>1383</v>
      </c>
      <c r="S733" s="11" t="s">
        <v>1384</v>
      </c>
      <c r="T733" s="12"/>
      <c r="U733" s="10" t="str">
        <f>HYPERLINK("https://pbs.twimg.com/profile_images/1068056978679898113/YnjKwiVy.jpg","View")</f>
        <v>View</v>
      </c>
    </row>
    <row r="734" spans="1:21" ht="20.399999999999999">
      <c r="A734" s="6">
        <v>43440.151388888888</v>
      </c>
      <c r="B734" s="7" t="str">
        <f>HYPERLINK("https://twitter.com/LaVanguardia","@LaVanguardia")</f>
        <v>@LaVanguardia</v>
      </c>
      <c r="C734" s="8" t="s">
        <v>1882</v>
      </c>
      <c r="D734" s="9" t="s">
        <v>1843</v>
      </c>
      <c r="E734" s="10" t="str">
        <f>HYPERLINK("https://twitter.com/LaVanguardia/status/1070507619591311361","1070507619591311361")</f>
        <v>1070507619591311361</v>
      </c>
      <c r="F734" s="11" t="s">
        <v>2640</v>
      </c>
      <c r="G734" s="12"/>
      <c r="H734" s="12"/>
      <c r="I734" s="13">
        <v>1</v>
      </c>
      <c r="J734" s="13">
        <v>1</v>
      </c>
      <c r="K734" s="14" t="str">
        <f>HYPERLINK("http://www.lavanguardia.es","App publicación twits DGRID")</f>
        <v>App publicación twits DGRID</v>
      </c>
      <c r="L734" s="13">
        <v>999502</v>
      </c>
      <c r="M734" s="13">
        <v>524</v>
      </c>
      <c r="N734" s="13">
        <v>12585</v>
      </c>
      <c r="O734" s="19" t="s">
        <v>44</v>
      </c>
      <c r="P734" s="6">
        <v>40071.664548611108</v>
      </c>
      <c r="Q734" s="16" t="s">
        <v>1455</v>
      </c>
      <c r="R734" s="17" t="s">
        <v>1883</v>
      </c>
      <c r="S734" s="11" t="s">
        <v>1884</v>
      </c>
      <c r="T734" s="12"/>
      <c r="U734" s="10" t="str">
        <f>HYPERLINK("https://pbs.twimg.com/profile_images/936873783721320448/6Q97S0pp.jpg","View")</f>
        <v>View</v>
      </c>
    </row>
    <row r="735" spans="1:21" ht="40.799999999999997">
      <c r="A735" s="6">
        <v>43440.111458333333</v>
      </c>
      <c r="B735" s="7" t="str">
        <f>HYPERLINK("https://twitter.com/luisesgo","@luisesgo")</f>
        <v>@luisesgo</v>
      </c>
      <c r="C735" s="8" t="s">
        <v>2642</v>
      </c>
      <c r="D735" s="9" t="s">
        <v>2643</v>
      </c>
      <c r="E735" s="10" t="str">
        <f>HYPERLINK("https://twitter.com/luisesgo/status/1070493149116686337","1070493149116686337")</f>
        <v>1070493149116686337</v>
      </c>
      <c r="F735" s="11" t="s">
        <v>1389</v>
      </c>
      <c r="G735" s="12"/>
      <c r="H735" s="12"/>
      <c r="I735" s="13">
        <v>3</v>
      </c>
      <c r="J735" s="13">
        <v>7</v>
      </c>
      <c r="K735" s="14" t="str">
        <f>HYPERLINK("http://twitter.com/#!/download/ipad","Twitter for iPad")</f>
        <v>Twitter for iPad</v>
      </c>
      <c r="L735" s="13">
        <v>10040</v>
      </c>
      <c r="M735" s="13">
        <v>3624</v>
      </c>
      <c r="N735" s="13">
        <v>135</v>
      </c>
      <c r="O735" s="15"/>
      <c r="P735" s="6">
        <v>39949.620509259257</v>
      </c>
      <c r="Q735" s="12"/>
      <c r="R735" s="17" t="s">
        <v>2644</v>
      </c>
      <c r="S735" s="12"/>
      <c r="T735" s="12"/>
      <c r="U735" s="10" t="str">
        <f>HYPERLINK("https://pbs.twimg.com/profile_images/987703873841311746/UI901grj.jpg","View")</f>
        <v>View</v>
      </c>
    </row>
    <row r="736" spans="1:21" ht="30.6">
      <c r="A736" s="6">
        <v>43440.058634259258</v>
      </c>
      <c r="B736" s="7" t="str">
        <f t="shared" ref="B736:B737" si="132">HYPERLINK("https://twitter.com/ggohom","@ggohom")</f>
        <v>@ggohom</v>
      </c>
      <c r="C736" s="8" t="s">
        <v>2645</v>
      </c>
      <c r="D736" s="9" t="s">
        <v>2646</v>
      </c>
      <c r="E736" s="10" t="str">
        <f>HYPERLINK("https://twitter.com/ggohom/status/1070474005507825664","1070474005507825664")</f>
        <v>1070474005507825664</v>
      </c>
      <c r="F736" s="11" t="s">
        <v>2647</v>
      </c>
      <c r="G736" s="12"/>
      <c r="H736" s="12"/>
      <c r="I736" s="13">
        <v>0</v>
      </c>
      <c r="J736" s="13">
        <v>0</v>
      </c>
      <c r="K736" s="14" t="str">
        <f t="shared" ref="K736:K737" si="133">HYPERLINK("https://www.google.com/","Google")</f>
        <v>Google</v>
      </c>
      <c r="L736" s="13">
        <v>17125</v>
      </c>
      <c r="M736" s="13">
        <v>13307</v>
      </c>
      <c r="N736" s="13">
        <v>201</v>
      </c>
      <c r="O736" s="15"/>
      <c r="P736" s="6">
        <v>40058.819305555553</v>
      </c>
      <c r="Q736" s="12"/>
      <c r="R736" s="17" t="s">
        <v>2648</v>
      </c>
      <c r="S736" s="11" t="s">
        <v>2649</v>
      </c>
      <c r="T736" s="12"/>
      <c r="U736" s="10" t="str">
        <f t="shared" ref="U736:U737" si="134">HYPERLINK("https://pbs.twimg.com/profile_images/1001313945666322433/tI3F5ak2.jpg","View")</f>
        <v>View</v>
      </c>
    </row>
    <row r="737" spans="1:21" ht="30.6">
      <c r="A737" s="6">
        <v>43440.058576388888</v>
      </c>
      <c r="B737" s="7" t="str">
        <f t="shared" si="132"/>
        <v>@ggohom</v>
      </c>
      <c r="C737" s="8" t="s">
        <v>2645</v>
      </c>
      <c r="D737" s="9" t="s">
        <v>2650</v>
      </c>
      <c r="E737" s="10" t="str">
        <f>HYPERLINK("https://twitter.com/ggohom/status/1070473988558725122","1070473988558725122")</f>
        <v>1070473988558725122</v>
      </c>
      <c r="F737" s="11" t="s">
        <v>2647</v>
      </c>
      <c r="G737" s="12"/>
      <c r="H737" s="12"/>
      <c r="I737" s="13">
        <v>0</v>
      </c>
      <c r="J737" s="13">
        <v>0</v>
      </c>
      <c r="K737" s="14" t="str">
        <f t="shared" si="133"/>
        <v>Google</v>
      </c>
      <c r="L737" s="13">
        <v>17125</v>
      </c>
      <c r="M737" s="13">
        <v>13307</v>
      </c>
      <c r="N737" s="13">
        <v>201</v>
      </c>
      <c r="O737" s="15"/>
      <c r="P737" s="6">
        <v>40058.819305555553</v>
      </c>
      <c r="Q737" s="12"/>
      <c r="R737" s="17" t="s">
        <v>2648</v>
      </c>
      <c r="S737" s="11" t="s">
        <v>2649</v>
      </c>
      <c r="T737" s="12"/>
      <c r="U737" s="10" t="str">
        <f t="shared" si="134"/>
        <v>View</v>
      </c>
    </row>
    <row r="738" spans="1:21" ht="40.799999999999997">
      <c r="A738" s="6">
        <v>43440.05678240741</v>
      </c>
      <c r="B738" s="7" t="str">
        <f>HYPERLINK("https://twitter.com/jaumeors","@jaumeors")</f>
        <v>@jaumeors</v>
      </c>
      <c r="C738" s="8" t="s">
        <v>2651</v>
      </c>
      <c r="D738" s="9" t="s">
        <v>2652</v>
      </c>
      <c r="E738" s="10" t="str">
        <f>HYPERLINK("https://twitter.com/jaumeors/status/1070473337313378304","1070473337313378304")</f>
        <v>1070473337313378304</v>
      </c>
      <c r="F738" s="11" t="s">
        <v>2653</v>
      </c>
      <c r="G738" s="12"/>
      <c r="H738" s="12"/>
      <c r="I738" s="13">
        <v>0</v>
      </c>
      <c r="J738" s="13">
        <v>0</v>
      </c>
      <c r="K738" s="14" t="str">
        <f>HYPERLINK("http://twitter.com/download/android","Twitter for Android")</f>
        <v>Twitter for Android</v>
      </c>
      <c r="L738" s="13">
        <v>2352</v>
      </c>
      <c r="M738" s="13">
        <v>1760</v>
      </c>
      <c r="N738" s="13">
        <v>35</v>
      </c>
      <c r="O738" s="15"/>
      <c r="P738" s="6">
        <v>40804.792037037041</v>
      </c>
      <c r="Q738" s="16" t="s">
        <v>587</v>
      </c>
      <c r="R738" s="17" t="s">
        <v>2654</v>
      </c>
      <c r="S738" s="12"/>
      <c r="T738" s="12"/>
      <c r="U738" s="10" t="str">
        <f>HYPERLINK("https://pbs.twimg.com/profile_images/1070856399289225217/TWix4zbV.jpg","View")</f>
        <v>View</v>
      </c>
    </row>
    <row r="739" spans="1:21" ht="40.799999999999997">
      <c r="A739" s="6">
        <v>43440.054502314815</v>
      </c>
      <c r="B739" s="7" t="str">
        <f>HYPERLINK("https://twitter.com/boniazuaga","@boniazuaga")</f>
        <v>@boniazuaga</v>
      </c>
      <c r="C739" s="8" t="s">
        <v>2655</v>
      </c>
      <c r="D739" s="9" t="s">
        <v>2656</v>
      </c>
      <c r="E739" s="10" t="str">
        <f>HYPERLINK("https://twitter.com/boniazuaga/status/1070472508988682241","1070472508988682241")</f>
        <v>1070472508988682241</v>
      </c>
      <c r="F739" s="11" t="s">
        <v>1511</v>
      </c>
      <c r="G739" s="12"/>
      <c r="H739" s="12"/>
      <c r="I739" s="13">
        <v>0</v>
      </c>
      <c r="J739" s="13">
        <v>0</v>
      </c>
      <c r="K739" s="14" t="str">
        <f>HYPERLINK("http://www.facebook.com/twitter","Facebook")</f>
        <v>Facebook</v>
      </c>
      <c r="L739" s="13">
        <v>298</v>
      </c>
      <c r="M739" s="13">
        <v>380</v>
      </c>
      <c r="N739" s="13">
        <v>2</v>
      </c>
      <c r="O739" s="15"/>
      <c r="P739" s="6">
        <v>40319.562384259261</v>
      </c>
      <c r="Q739" s="16" t="s">
        <v>389</v>
      </c>
      <c r="R739" s="20"/>
      <c r="S739" s="11" t="s">
        <v>2657</v>
      </c>
      <c r="T739" s="12"/>
      <c r="U739" s="10" t="str">
        <f>HYPERLINK("https://pbs.twimg.com/profile_images/974957631373758464/LHzZ89Rc.jpg","View")</f>
        <v>View</v>
      </c>
    </row>
    <row r="740" spans="1:21" ht="40.799999999999997">
      <c r="A740" s="6">
        <v>43440.038530092592</v>
      </c>
      <c r="B740" s="7" t="str">
        <f>HYPERLINK("https://twitter.com/VeoInfo_","@VeoInfo_")</f>
        <v>@VeoInfo_</v>
      </c>
      <c r="C740" s="8" t="s">
        <v>2007</v>
      </c>
      <c r="D740" s="9" t="s">
        <v>2658</v>
      </c>
      <c r="E740" s="10" t="str">
        <f>HYPERLINK("https://twitter.com/VeoInfo_/status/1070466720303931393","1070466720303931393")</f>
        <v>1070466720303931393</v>
      </c>
      <c r="F740" s="16" t="s">
        <v>2659</v>
      </c>
      <c r="G740" s="12"/>
      <c r="H740" s="12"/>
      <c r="I740" s="13">
        <v>0</v>
      </c>
      <c r="J740" s="13">
        <v>0</v>
      </c>
      <c r="K740" s="14" t="str">
        <f>HYPERLINK("http://publicize.wp.com/","WordPress.com")</f>
        <v>WordPress.com</v>
      </c>
      <c r="L740" s="13">
        <v>1135</v>
      </c>
      <c r="M740" s="13">
        <v>1139</v>
      </c>
      <c r="N740" s="13">
        <v>37</v>
      </c>
      <c r="O740" s="15"/>
      <c r="P740" s="6">
        <v>41881.101840277777</v>
      </c>
      <c r="Q740" s="16" t="s">
        <v>2011</v>
      </c>
      <c r="R740" s="17" t="s">
        <v>2012</v>
      </c>
      <c r="S740" s="11" t="s">
        <v>2013</v>
      </c>
      <c r="T740" s="12"/>
      <c r="U740" s="10" t="str">
        <f>HYPERLINK("https://pbs.twimg.com/profile_images/601509372305485827/Val0dfGy.png","View")</f>
        <v>View</v>
      </c>
    </row>
    <row r="741" spans="1:21" ht="40.799999999999997">
      <c r="A741" s="6">
        <v>43440.036134259259</v>
      </c>
      <c r="B741" s="7" t="str">
        <f>HYPERLINK("https://twitter.com/Veaparic","@Veaparic")</f>
        <v>@Veaparic</v>
      </c>
      <c r="C741" s="8" t="s">
        <v>2660</v>
      </c>
      <c r="D741" s="9" t="s">
        <v>2661</v>
      </c>
      <c r="E741" s="10" t="str">
        <f>HYPERLINK("https://twitter.com/Veaparic/status/1070465854939254784","1070465854939254784")</f>
        <v>1070465854939254784</v>
      </c>
      <c r="F741" s="11" t="s">
        <v>2662</v>
      </c>
      <c r="G741" s="12"/>
      <c r="H741" s="12"/>
      <c r="I741" s="13">
        <v>0</v>
      </c>
      <c r="J741" s="13">
        <v>0</v>
      </c>
      <c r="K741" s="14" t="str">
        <f t="shared" ref="K741:K742" si="135">HYPERLINK("http://twitter.com","Twitter Web Client")</f>
        <v>Twitter Web Client</v>
      </c>
      <c r="L741" s="13">
        <v>743</v>
      </c>
      <c r="M741" s="13">
        <v>1467</v>
      </c>
      <c r="N741" s="13">
        <v>3</v>
      </c>
      <c r="O741" s="15"/>
      <c r="P741" s="6">
        <v>41370.759814814817</v>
      </c>
      <c r="Q741" s="16" t="s">
        <v>328</v>
      </c>
      <c r="R741" s="17" t="s">
        <v>2663</v>
      </c>
      <c r="S741" s="12"/>
      <c r="T741" s="12"/>
      <c r="U741" s="10" t="str">
        <f>HYPERLINK("https://pbs.twimg.com/profile_images/942129890295517184/1dspVY0o.jpg","View")</f>
        <v>View</v>
      </c>
    </row>
    <row r="742" spans="1:21" ht="40.799999999999997">
      <c r="A742" s="6">
        <v>43440.035393518519</v>
      </c>
      <c r="B742" s="7" t="str">
        <f>HYPERLINK("https://twitter.com/salvadorpastorb","@salvadorpastorb")</f>
        <v>@salvadorpastorb</v>
      </c>
      <c r="C742" s="8" t="s">
        <v>552</v>
      </c>
      <c r="D742" s="9" t="s">
        <v>2524</v>
      </c>
      <c r="E742" s="10" t="str">
        <f>HYPERLINK("https://twitter.com/salvadorpastorb/status/1070465586226966533","1070465586226966533")</f>
        <v>1070465586226966533</v>
      </c>
      <c r="F742" s="11" t="s">
        <v>2525</v>
      </c>
      <c r="G742" s="12"/>
      <c r="H742" s="12"/>
      <c r="I742" s="13">
        <v>0</v>
      </c>
      <c r="J742" s="13">
        <v>0</v>
      </c>
      <c r="K742" s="14" t="str">
        <f t="shared" si="135"/>
        <v>Twitter Web Client</v>
      </c>
      <c r="L742" s="13">
        <v>1845</v>
      </c>
      <c r="M742" s="13">
        <v>4998</v>
      </c>
      <c r="N742" s="13">
        <v>49</v>
      </c>
      <c r="O742" s="15"/>
      <c r="P742" s="6">
        <v>40972.034629629634</v>
      </c>
      <c r="Q742" s="16" t="s">
        <v>48</v>
      </c>
      <c r="R742" s="17" t="s">
        <v>553</v>
      </c>
      <c r="S742" s="11" t="s">
        <v>554</v>
      </c>
      <c r="T742" s="12"/>
      <c r="U742" s="10" t="str">
        <f>HYPERLINK("https://pbs.twimg.com/profile_images/1872162133/Imagen__4_.jpg","View")</f>
        <v>View</v>
      </c>
    </row>
    <row r="743" spans="1:21" ht="51">
      <c r="A743" s="6">
        <v>43440.026041666672</v>
      </c>
      <c r="B743" s="7" t="str">
        <f>HYPERLINK("https://twitter.com/Marieteee_CR","@Marieteee_CR")</f>
        <v>@Marieteee_CR</v>
      </c>
      <c r="C743" s="8" t="s">
        <v>2664</v>
      </c>
      <c r="D743" s="9" t="s">
        <v>2665</v>
      </c>
      <c r="E743" s="10" t="str">
        <f>HYPERLINK("https://twitter.com/Marieteee_CR/status/1070462195438374912","1070462195438374912")</f>
        <v>1070462195438374912</v>
      </c>
      <c r="F743" s="11" t="s">
        <v>2666</v>
      </c>
      <c r="G743" s="11" t="s">
        <v>2667</v>
      </c>
      <c r="H743" s="12"/>
      <c r="I743" s="13">
        <v>0</v>
      </c>
      <c r="J743" s="13">
        <v>0</v>
      </c>
      <c r="K743" s="14" t="str">
        <f>HYPERLINK("http://twitter.com/download/iphone","Twitter for iPhone")</f>
        <v>Twitter for iPhone</v>
      </c>
      <c r="L743" s="13">
        <v>1937</v>
      </c>
      <c r="M743" s="13">
        <v>367</v>
      </c>
      <c r="N743" s="13">
        <v>11</v>
      </c>
      <c r="O743" s="15"/>
      <c r="P743" s="6">
        <v>42614.529131944444</v>
      </c>
      <c r="Q743" s="16" t="s">
        <v>2668</v>
      </c>
      <c r="R743" s="17" t="s">
        <v>2669</v>
      </c>
      <c r="S743" s="11" t="s">
        <v>2670</v>
      </c>
      <c r="T743" s="12"/>
      <c r="U743" s="10" t="str">
        <f>HYPERLINK("https://pbs.twimg.com/profile_images/1066332665811517440/ch_mIQVl.jpg","View")</f>
        <v>View</v>
      </c>
    </row>
    <row r="744" spans="1:21" ht="30.6">
      <c r="A744" s="6">
        <v>43440.016435185185</v>
      </c>
      <c r="B744" s="7" t="str">
        <f>HYPERLINK("https://twitter.com/periodicovzlano","@periodicovzlano")</f>
        <v>@periodicovzlano</v>
      </c>
      <c r="C744" s="8" t="s">
        <v>2671</v>
      </c>
      <c r="D744" s="9" t="s">
        <v>2672</v>
      </c>
      <c r="E744" s="10" t="str">
        <f>HYPERLINK("https://twitter.com/periodicovzlano/status/1070458715772518400","1070458715772518400")</f>
        <v>1070458715772518400</v>
      </c>
      <c r="F744" s="11" t="s">
        <v>2673</v>
      </c>
      <c r="G744" s="11" t="s">
        <v>2674</v>
      </c>
      <c r="H744" s="12"/>
      <c r="I744" s="13">
        <v>1</v>
      </c>
      <c r="J744" s="13">
        <v>1</v>
      </c>
      <c r="K744" s="14" t="str">
        <f>HYPERLINK("http://epmundo.com","Tuiteo TOP EP (1)")</f>
        <v>Tuiteo TOP EP (1)</v>
      </c>
      <c r="L744" s="13">
        <v>479694</v>
      </c>
      <c r="M744" s="13">
        <v>358804</v>
      </c>
      <c r="N744" s="13">
        <v>1295</v>
      </c>
      <c r="O744" s="15"/>
      <c r="P744" s="6">
        <v>40663.3512962963</v>
      </c>
      <c r="Q744" s="16" t="s">
        <v>861</v>
      </c>
      <c r="R744" s="17" t="s">
        <v>2675</v>
      </c>
      <c r="S744" s="11" t="s">
        <v>2676</v>
      </c>
      <c r="T744" s="12"/>
      <c r="U744" s="10" t="str">
        <f>HYPERLINK("https://pbs.twimg.com/profile_images/958328579250638849/MCz7Q8U6.jpg","View")</f>
        <v>View</v>
      </c>
    </row>
    <row r="745" spans="1:21" ht="40.799999999999997">
      <c r="A745" s="6">
        <v>43440.000254629631</v>
      </c>
      <c r="B745" s="7" t="str">
        <f>HYPERLINK("https://twitter.com/TheObjective_es","@TheObjective_es")</f>
        <v>@TheObjective_es</v>
      </c>
      <c r="C745" s="8" t="s">
        <v>83</v>
      </c>
      <c r="D745" s="9" t="s">
        <v>2677</v>
      </c>
      <c r="E745" s="10" t="str">
        <f>HYPERLINK("https://twitter.com/TheObjective_es/status/1070452851288231939","1070452851288231939")</f>
        <v>1070452851288231939</v>
      </c>
      <c r="F745" s="11" t="s">
        <v>2678</v>
      </c>
      <c r="G745" s="11" t="s">
        <v>2679</v>
      </c>
      <c r="H745" s="12"/>
      <c r="I745" s="13">
        <v>0</v>
      </c>
      <c r="J745" s="13">
        <v>0</v>
      </c>
      <c r="K745" s="14" t="str">
        <f>HYPERLINK("https://buffer.com","Buffer")</f>
        <v>Buffer</v>
      </c>
      <c r="L745" s="13">
        <v>50878</v>
      </c>
      <c r="M745" s="13">
        <v>704</v>
      </c>
      <c r="N745" s="13">
        <v>1225</v>
      </c>
      <c r="O745" s="15"/>
      <c r="P745" s="6">
        <v>41473.393935185188</v>
      </c>
      <c r="Q745" s="16" t="s">
        <v>86</v>
      </c>
      <c r="R745" s="17" t="s">
        <v>87</v>
      </c>
      <c r="S745" s="11" t="s">
        <v>88</v>
      </c>
      <c r="T745" s="12"/>
      <c r="U745" s="10" t="str">
        <f>HYPERLINK("https://pbs.twimg.com/profile_images/996760534082117632/umqvtWL2.jpg","View")</f>
        <v>View</v>
      </c>
    </row>
    <row r="746" spans="1:21" ht="40.799999999999997">
      <c r="A746" s="6">
        <v>43439.992037037038</v>
      </c>
      <c r="B746" s="7" t="str">
        <f>HYPERLINK("https://twitter.com/grelomart","@grelomart")</f>
        <v>@grelomart</v>
      </c>
      <c r="C746" s="8" t="s">
        <v>2680</v>
      </c>
      <c r="D746" s="9" t="s">
        <v>2524</v>
      </c>
      <c r="E746" s="10" t="str">
        <f>HYPERLINK("https://twitter.com/grelomart/status/1070449871642132480","1070449871642132480")</f>
        <v>1070449871642132480</v>
      </c>
      <c r="F746" s="11" t="s">
        <v>2525</v>
      </c>
      <c r="G746" s="12"/>
      <c r="H746" s="12"/>
      <c r="I746" s="13">
        <v>0</v>
      </c>
      <c r="J746" s="13">
        <v>0</v>
      </c>
      <c r="K746" s="14" t="str">
        <f t="shared" ref="K746:K747" si="136">HYPERLINK("http://twitter.com","Twitter Web Client")</f>
        <v>Twitter Web Client</v>
      </c>
      <c r="L746" s="13">
        <v>554</v>
      </c>
      <c r="M746" s="13">
        <v>1242</v>
      </c>
      <c r="N746" s="13">
        <v>18</v>
      </c>
      <c r="O746" s="15"/>
      <c r="P746" s="6">
        <v>40014.574664351851</v>
      </c>
      <c r="Q746" s="16" t="s">
        <v>2209</v>
      </c>
      <c r="R746" s="17" t="s">
        <v>2681</v>
      </c>
      <c r="S746" s="11" t="s">
        <v>2682</v>
      </c>
      <c r="T746" s="12"/>
      <c r="U746" s="10" t="str">
        <f>HYPERLINK("https://pbs.twimg.com/profile_images/955218592747966467/2aAPZcsg.jpg","View")</f>
        <v>View</v>
      </c>
    </row>
    <row r="747" spans="1:21" ht="51">
      <c r="A747" s="6">
        <v>43439.984988425931</v>
      </c>
      <c r="B747" s="7" t="str">
        <f>HYPERLINK("https://twitter.com/iangulochacon","@iangulochacon")</f>
        <v>@iangulochacon</v>
      </c>
      <c r="C747" s="8" t="s">
        <v>2683</v>
      </c>
      <c r="D747" s="9" t="s">
        <v>2684</v>
      </c>
      <c r="E747" s="10" t="str">
        <f>HYPERLINK("https://twitter.com/iangulochacon/status/1070447319571677185","1070447319571677185")</f>
        <v>1070447319571677185</v>
      </c>
      <c r="F747" s="12"/>
      <c r="G747" s="11" t="s">
        <v>2685</v>
      </c>
      <c r="H747" s="12"/>
      <c r="I747" s="13">
        <v>2</v>
      </c>
      <c r="J747" s="13">
        <v>1</v>
      </c>
      <c r="K747" s="14" t="str">
        <f t="shared" si="136"/>
        <v>Twitter Web Client</v>
      </c>
      <c r="L747" s="13">
        <v>15859</v>
      </c>
      <c r="M747" s="13">
        <v>16544</v>
      </c>
      <c r="N747" s="13">
        <v>47</v>
      </c>
      <c r="O747" s="15"/>
      <c r="P747" s="6">
        <v>40213.701550925922</v>
      </c>
      <c r="Q747" s="12"/>
      <c r="R747" s="17" t="s">
        <v>2686</v>
      </c>
      <c r="S747" s="12"/>
      <c r="T747" s="12"/>
      <c r="U747" s="10" t="str">
        <f>HYPERLINK("https://pbs.twimg.com/profile_images/378800000414505215/c08cd7eacd21b304319f72f6dca86b7d.jpeg","View")</f>
        <v>View</v>
      </c>
    </row>
    <row r="748" spans="1:21" ht="30.6">
      <c r="A748" s="6">
        <v>43439.956724537042</v>
      </c>
      <c r="B748" s="7" t="str">
        <f>HYPERLINK("https://twitter.com/EcodeTeruel","@EcodeTeruel")</f>
        <v>@EcodeTeruel</v>
      </c>
      <c r="C748" s="8" t="s">
        <v>2687</v>
      </c>
      <c r="D748" s="9" t="s">
        <v>2688</v>
      </c>
      <c r="E748" s="10" t="str">
        <f>HYPERLINK("https://twitter.com/EcodeTeruel/status/1070437075831451651","1070437075831451651")</f>
        <v>1070437075831451651</v>
      </c>
      <c r="F748" s="11" t="s">
        <v>2689</v>
      </c>
      <c r="G748" s="11" t="s">
        <v>2690</v>
      </c>
      <c r="H748" s="12"/>
      <c r="I748" s="13">
        <v>0</v>
      </c>
      <c r="J748" s="13">
        <v>0</v>
      </c>
      <c r="K748" s="14" t="str">
        <f>HYPERLINK("http://www.ecodeteruel.es","Eco De Teruel")</f>
        <v>Eco De Teruel</v>
      </c>
      <c r="L748" s="13">
        <v>6249</v>
      </c>
      <c r="M748" s="13">
        <v>712</v>
      </c>
      <c r="N748" s="13">
        <v>106</v>
      </c>
      <c r="O748" s="15"/>
      <c r="P748" s="6">
        <v>40333.41920138889</v>
      </c>
      <c r="Q748" s="16" t="s">
        <v>2691</v>
      </c>
      <c r="R748" s="17" t="s">
        <v>2692</v>
      </c>
      <c r="S748" s="11" t="s">
        <v>2693</v>
      </c>
      <c r="T748" s="12"/>
      <c r="U748" s="10" t="str">
        <f>HYPERLINK("https://pbs.twimg.com/profile_images/2967619787/3937ff45f7589f236ebdf252313e8ad7.png","View")</f>
        <v>View</v>
      </c>
    </row>
    <row r="749" spans="1:21" ht="51">
      <c r="A749" s="6">
        <v>43439.943194444444</v>
      </c>
      <c r="B749" s="7" t="str">
        <f>HYPERLINK("https://twitter.com/Entelequio2","@Entelequio2")</f>
        <v>@Entelequio2</v>
      </c>
      <c r="C749" s="8" t="s">
        <v>2694</v>
      </c>
      <c r="D749" s="9" t="s">
        <v>2695</v>
      </c>
      <c r="E749" s="10" t="str">
        <f>HYPERLINK("https://twitter.com/Entelequio2/status/1070432171737931784","1070432171737931784")</f>
        <v>1070432171737931784</v>
      </c>
      <c r="F749" s="12"/>
      <c r="G749" s="12"/>
      <c r="H749" s="12"/>
      <c r="I749" s="13">
        <v>1</v>
      </c>
      <c r="J749" s="13">
        <v>1</v>
      </c>
      <c r="K749" s="14" t="str">
        <f t="shared" ref="K749:K752" si="137">HYPERLINK("http://twitter.com/download/android","Twitter for Android")</f>
        <v>Twitter for Android</v>
      </c>
      <c r="L749" s="13">
        <v>76</v>
      </c>
      <c r="M749" s="13">
        <v>170</v>
      </c>
      <c r="N749" s="13">
        <v>0</v>
      </c>
      <c r="O749" s="15"/>
      <c r="P749" s="6">
        <v>43121.430196759262</v>
      </c>
      <c r="Q749" s="12"/>
      <c r="R749" s="17" t="s">
        <v>2696</v>
      </c>
      <c r="S749" s="12"/>
      <c r="T749" s="12"/>
      <c r="U749" s="10" t="str">
        <f>HYPERLINK("https://pbs.twimg.com/profile_images/978978623318315008/sAbljkLv.jpg","View")</f>
        <v>View</v>
      </c>
    </row>
    <row r="750" spans="1:21" ht="51">
      <c r="A750" s="6">
        <v>43439.934895833328</v>
      </c>
      <c r="B750" s="7" t="str">
        <f>HYPERLINK("https://twitter.com/Insomnio5155","@Insomnio5155")</f>
        <v>@Insomnio5155</v>
      </c>
      <c r="C750" s="8" t="s">
        <v>2697</v>
      </c>
      <c r="D750" s="9" t="s">
        <v>2698</v>
      </c>
      <c r="E750" s="10" t="str">
        <f>HYPERLINK("https://twitter.com/Insomnio5155/status/1070429166686875652","1070429166686875652")</f>
        <v>1070429166686875652</v>
      </c>
      <c r="F750" s="11" t="s">
        <v>2328</v>
      </c>
      <c r="G750" s="12"/>
      <c r="H750" s="12"/>
      <c r="I750" s="13">
        <v>17</v>
      </c>
      <c r="J750" s="13">
        <v>6</v>
      </c>
      <c r="K750" s="14" t="str">
        <f t="shared" si="137"/>
        <v>Twitter for Android</v>
      </c>
      <c r="L750" s="13">
        <v>264</v>
      </c>
      <c r="M750" s="13">
        <v>307</v>
      </c>
      <c r="N750" s="13">
        <v>1</v>
      </c>
      <c r="O750" s="15"/>
      <c r="P750" s="6">
        <v>42791.586967592593</v>
      </c>
      <c r="Q750" s="16" t="s">
        <v>2699</v>
      </c>
      <c r="R750" s="17" t="s">
        <v>2700</v>
      </c>
      <c r="S750" s="12"/>
      <c r="T750" s="12"/>
      <c r="U750" s="10" t="str">
        <f>HYPERLINK("https://pbs.twimg.com/profile_images/836155965439365120/oDFrfXtw.jpg","View")</f>
        <v>View</v>
      </c>
    </row>
    <row r="751" spans="1:21" ht="40.799999999999997">
      <c r="A751" s="6">
        <v>43439.929884259254</v>
      </c>
      <c r="B751" s="7" t="str">
        <f>HYPERLINK("https://twitter.com/caval100","@caval100")</f>
        <v>@caval100</v>
      </c>
      <c r="C751" s="8" t="s">
        <v>72</v>
      </c>
      <c r="D751" s="9" t="s">
        <v>2524</v>
      </c>
      <c r="E751" s="10" t="str">
        <f>HYPERLINK("https://twitter.com/caval100/status/1070427348456103937","1070427348456103937")</f>
        <v>1070427348456103937</v>
      </c>
      <c r="F751" s="11" t="s">
        <v>2525</v>
      </c>
      <c r="G751" s="12"/>
      <c r="H751" s="12"/>
      <c r="I751" s="13">
        <v>1</v>
      </c>
      <c r="J751" s="13">
        <v>0</v>
      </c>
      <c r="K751" s="14" t="str">
        <f t="shared" si="137"/>
        <v>Twitter for Android</v>
      </c>
      <c r="L751" s="13">
        <v>119343</v>
      </c>
      <c r="M751" s="13">
        <v>94000</v>
      </c>
      <c r="N751" s="13">
        <v>982</v>
      </c>
      <c r="O751" s="15"/>
      <c r="P751" s="6">
        <v>40079.437094907407</v>
      </c>
      <c r="Q751" s="16" t="s">
        <v>75</v>
      </c>
      <c r="R751" s="17" t="s">
        <v>76</v>
      </c>
      <c r="S751" s="11" t="s">
        <v>77</v>
      </c>
      <c r="T751" s="12"/>
      <c r="U751" s="10" t="str">
        <f>HYPERLINK("https://pbs.twimg.com/profile_images/965350678301429760/uvGI7g8U.jpg","View")</f>
        <v>View</v>
      </c>
    </row>
    <row r="752" spans="1:21" ht="30.6">
      <c r="A752" s="6">
        <v>43439.928078703699</v>
      </c>
      <c r="B752" s="7" t="str">
        <f>HYPERLINK("https://twitter.com/Rossua58","@Rossua58")</f>
        <v>@Rossua58</v>
      </c>
      <c r="C752" s="8" t="s">
        <v>2701</v>
      </c>
      <c r="D752" s="9" t="s">
        <v>2702</v>
      </c>
      <c r="E752" s="10" t="str">
        <f>HYPERLINK("https://twitter.com/Rossua58/status/1070426695625256968","1070426695625256968")</f>
        <v>1070426695625256968</v>
      </c>
      <c r="F752" s="12"/>
      <c r="G752" s="11" t="s">
        <v>2703</v>
      </c>
      <c r="H752" s="12"/>
      <c r="I752" s="13">
        <v>0</v>
      </c>
      <c r="J752" s="13">
        <v>3</v>
      </c>
      <c r="K752" s="14" t="str">
        <f t="shared" si="137"/>
        <v>Twitter for Android</v>
      </c>
      <c r="L752" s="13">
        <v>18</v>
      </c>
      <c r="M752" s="13">
        <v>170</v>
      </c>
      <c r="N752" s="13">
        <v>0</v>
      </c>
      <c r="O752" s="15"/>
      <c r="P752" s="6">
        <v>43016.575578703705</v>
      </c>
      <c r="Q752" s="16" t="s">
        <v>2704</v>
      </c>
      <c r="R752" s="17" t="s">
        <v>2705</v>
      </c>
      <c r="S752" s="12"/>
      <c r="T752" s="12"/>
      <c r="U752" s="10" t="str">
        <f>HYPERLINK("https://pbs.twimg.com/profile_images/983647657955602433/N-i69p7l.jpg","View")</f>
        <v>View</v>
      </c>
    </row>
    <row r="753" spans="1:21" ht="40.799999999999997">
      <c r="A753" s="6">
        <v>43439.926342592589</v>
      </c>
      <c r="B753" s="7" t="str">
        <f>HYPERLINK("https://twitter.com/Acampal","@Acampal")</f>
        <v>@Acampal</v>
      </c>
      <c r="C753" s="8" t="s">
        <v>55</v>
      </c>
      <c r="D753" s="9" t="s">
        <v>2706</v>
      </c>
      <c r="E753" s="10" t="str">
        <f>HYPERLINK("https://twitter.com/Acampal/status/1070426065896648716","1070426065896648716")</f>
        <v>1070426065896648716</v>
      </c>
      <c r="F753" s="12"/>
      <c r="G753" s="12"/>
      <c r="H753" s="12"/>
      <c r="I753" s="13">
        <v>0</v>
      </c>
      <c r="J753" s="13">
        <v>0</v>
      </c>
      <c r="K753" s="14" t="str">
        <f>HYPERLINK("http://twitter.com/download/iphone","Twitter for iPhone")</f>
        <v>Twitter for iPhone</v>
      </c>
      <c r="L753" s="13">
        <v>709</v>
      </c>
      <c r="M753" s="13">
        <v>559</v>
      </c>
      <c r="N753" s="13">
        <v>10</v>
      </c>
      <c r="O753" s="15"/>
      <c r="P753" s="6">
        <v>40604.544988425929</v>
      </c>
      <c r="Q753" s="16" t="s">
        <v>96</v>
      </c>
      <c r="R753" s="17" t="s">
        <v>2707</v>
      </c>
      <c r="S753" s="12"/>
      <c r="T753" s="12"/>
      <c r="U753" s="10" t="str">
        <f>HYPERLINK("https://pbs.twimg.com/profile_images/1040209048346472448/H0Y8gfAB.jpg","View")</f>
        <v>View</v>
      </c>
    </row>
    <row r="754" spans="1:21" ht="30.6">
      <c r="A754" s="6">
        <v>43439.921122685184</v>
      </c>
      <c r="B754" s="7" t="str">
        <f>HYPERLINK("https://twitter.com/Dramonator","@Dramonator")</f>
        <v>@Dramonator</v>
      </c>
      <c r="C754" s="8" t="s">
        <v>2708</v>
      </c>
      <c r="D754" s="9" t="s">
        <v>2709</v>
      </c>
      <c r="E754" s="10" t="str">
        <f>HYPERLINK("https://twitter.com/Dramonator/status/1070424174957604865","1070424174957604865")</f>
        <v>1070424174957604865</v>
      </c>
      <c r="F754" s="12"/>
      <c r="G754" s="12"/>
      <c r="H754" s="12"/>
      <c r="I754" s="13">
        <v>0</v>
      </c>
      <c r="J754" s="13">
        <v>2</v>
      </c>
      <c r="K754" s="14" t="str">
        <f>HYPERLINK("http://twitter.com/#!/download/ipad","Twitter for iPad")</f>
        <v>Twitter for iPad</v>
      </c>
      <c r="L754" s="13">
        <v>699</v>
      </c>
      <c r="M754" s="13">
        <v>726</v>
      </c>
      <c r="N754" s="13">
        <v>31</v>
      </c>
      <c r="O754" s="15"/>
      <c r="P754" s="6">
        <v>40216.562662037039</v>
      </c>
      <c r="Q754" s="12"/>
      <c r="R754" s="17" t="s">
        <v>2710</v>
      </c>
      <c r="S754" s="12"/>
      <c r="T754" s="12"/>
      <c r="U754" s="10" t="str">
        <f>HYPERLINK("https://pbs.twimg.com/profile_images/870285928748773376/x3o548WY.jpg","View")</f>
        <v>View</v>
      </c>
    </row>
    <row r="755" spans="1:21" ht="51">
      <c r="A755" s="6">
        <v>43439.920266203699</v>
      </c>
      <c r="B755" s="7" t="str">
        <f>HYPERLINK("https://twitter.com/FJavierCobo","@FJavierCobo")</f>
        <v>@FJavierCobo</v>
      </c>
      <c r="C755" s="8" t="s">
        <v>2711</v>
      </c>
      <c r="D755" s="9" t="s">
        <v>2712</v>
      </c>
      <c r="E755" s="10" t="str">
        <f>HYPERLINK("https://twitter.com/FJavierCobo/status/1070423864235167744","1070423864235167744")</f>
        <v>1070423864235167744</v>
      </c>
      <c r="F755" s="11" t="s">
        <v>2713</v>
      </c>
      <c r="G755" s="12"/>
      <c r="H755" s="12"/>
      <c r="I755" s="13">
        <v>1</v>
      </c>
      <c r="J755" s="13">
        <v>0</v>
      </c>
      <c r="K755" s="14" t="str">
        <f>HYPERLINK("http://twitter.com","Twitter Web Client")</f>
        <v>Twitter Web Client</v>
      </c>
      <c r="L755" s="13">
        <v>1728</v>
      </c>
      <c r="M755" s="13">
        <v>4919</v>
      </c>
      <c r="N755" s="13">
        <v>22</v>
      </c>
      <c r="O755" s="15"/>
      <c r="P755" s="6">
        <v>41234.31931712963</v>
      </c>
      <c r="Q755" s="16" t="s">
        <v>191</v>
      </c>
      <c r="R755" s="17" t="s">
        <v>2714</v>
      </c>
      <c r="S755" s="12"/>
      <c r="T755" s="12"/>
      <c r="U755" s="10" t="str">
        <f>HYPERLINK("https://pbs.twimg.com/profile_images/616722192756305920/NQR0TBT4.jpg","View")</f>
        <v>View</v>
      </c>
    </row>
    <row r="756" spans="1:21" ht="40.799999999999997">
      <c r="A756" s="6">
        <v>43439.916666666672</v>
      </c>
      <c r="B756" s="7" t="str">
        <f>HYPERLINK("https://twitter.com/El_Plural","@El_Plural")</f>
        <v>@El_Plural</v>
      </c>
      <c r="C756" s="8" t="s">
        <v>507</v>
      </c>
      <c r="D756" s="9" t="s">
        <v>2715</v>
      </c>
      <c r="E756" s="10" t="str">
        <f>HYPERLINK("https://twitter.com/El_Plural/status/1070422559538040833","1070422559538040833")</f>
        <v>1070422559538040833</v>
      </c>
      <c r="F756" s="11" t="s">
        <v>1511</v>
      </c>
      <c r="G756" s="12"/>
      <c r="H756" s="12"/>
      <c r="I756" s="13">
        <v>8</v>
      </c>
      <c r="J756" s="13">
        <v>7</v>
      </c>
      <c r="K756" s="14" t="str">
        <f>HYPERLINK("https://about.twitter.com/products/tweetdeck","TweetDeck")</f>
        <v>TweetDeck</v>
      </c>
      <c r="L756" s="13">
        <v>72031</v>
      </c>
      <c r="M756" s="13">
        <v>1650</v>
      </c>
      <c r="N756" s="13">
        <v>2018</v>
      </c>
      <c r="O756" s="15"/>
      <c r="P756" s="6">
        <v>40351.51053240741</v>
      </c>
      <c r="Q756" s="16" t="s">
        <v>48</v>
      </c>
      <c r="R756" s="17" t="s">
        <v>510</v>
      </c>
      <c r="S756" s="11" t="s">
        <v>511</v>
      </c>
      <c r="T756" s="12"/>
      <c r="U756" s="10" t="str">
        <f>HYPERLINK("https://pbs.twimg.com/profile_images/1017707018138857473/kUt8X2tn.jpg","View")</f>
        <v>View</v>
      </c>
    </row>
    <row r="757" spans="1:21" ht="13.2">
      <c r="A757" s="6">
        <v>43439.904421296298</v>
      </c>
      <c r="B757" s="7" t="str">
        <f>HYPERLINK("https://twitter.com/elisadocio","@elisadocio")</f>
        <v>@elisadocio</v>
      </c>
      <c r="C757" s="8" t="s">
        <v>278</v>
      </c>
      <c r="D757" s="9" t="s">
        <v>2716</v>
      </c>
      <c r="E757" s="10" t="str">
        <f>HYPERLINK("https://twitter.com/elisadocio/status/1070418123193495552","1070418123193495552")</f>
        <v>1070418123193495552</v>
      </c>
      <c r="F757" s="11" t="s">
        <v>2525</v>
      </c>
      <c r="G757" s="12"/>
      <c r="H757" s="12"/>
      <c r="I757" s="13">
        <v>0</v>
      </c>
      <c r="J757" s="13">
        <v>0</v>
      </c>
      <c r="K757" s="14" t="str">
        <f>HYPERLINK("http://www.facebook.com/twitter","Facebook")</f>
        <v>Facebook</v>
      </c>
      <c r="L757" s="13">
        <v>208</v>
      </c>
      <c r="M757" s="13">
        <v>359</v>
      </c>
      <c r="N757" s="13">
        <v>3</v>
      </c>
      <c r="O757" s="15"/>
      <c r="P757" s="6">
        <v>39808.986134259263</v>
      </c>
      <c r="Q757" s="16" t="s">
        <v>280</v>
      </c>
      <c r="R757" s="20"/>
      <c r="S757" s="11" t="s">
        <v>281</v>
      </c>
      <c r="T757" s="12"/>
      <c r="U757" s="10" t="str">
        <f>HYPERLINK("https://pbs.twimg.com/profile_images/106544839/pa310035_edited2.jpg","View")</f>
        <v>View</v>
      </c>
    </row>
    <row r="758" spans="1:21" ht="20.399999999999999">
      <c r="A758" s="6">
        <v>43439.900081018517</v>
      </c>
      <c r="B758" s="7" t="str">
        <f>HYPERLINK("https://twitter.com/EP_EEUU","@EP_EEUU")</f>
        <v>@EP_EEUU</v>
      </c>
      <c r="C758" s="8" t="s">
        <v>2717</v>
      </c>
      <c r="D758" s="9" t="s">
        <v>2718</v>
      </c>
      <c r="E758" s="10" t="str">
        <f>HYPERLINK("https://twitter.com/EP_EEUU/status/1070416551747174402","1070416551747174402")</f>
        <v>1070416551747174402</v>
      </c>
      <c r="F758" s="11" t="s">
        <v>2719</v>
      </c>
      <c r="G758" s="11" t="s">
        <v>2720</v>
      </c>
      <c r="H758" s="12"/>
      <c r="I758" s="13">
        <v>0</v>
      </c>
      <c r="J758" s="13">
        <v>3</v>
      </c>
      <c r="K758" s="14" t="str">
        <f>HYPERLINK("http://epmundo.com","Tuiteo TOP EP (3)")</f>
        <v>Tuiteo TOP EP (3)</v>
      </c>
      <c r="L758" s="13">
        <v>71604</v>
      </c>
      <c r="M758" s="13">
        <v>69779</v>
      </c>
      <c r="N758" s="13">
        <v>227</v>
      </c>
      <c r="O758" s="15"/>
      <c r="P758" s="6">
        <v>40710.977870370371</v>
      </c>
      <c r="Q758" s="16" t="s">
        <v>2721</v>
      </c>
      <c r="R758" s="17" t="s">
        <v>2722</v>
      </c>
      <c r="S758" s="11" t="s">
        <v>2723</v>
      </c>
      <c r="T758" s="12"/>
      <c r="U758" s="10" t="str">
        <f>HYPERLINK("https://pbs.twimg.com/profile_images/958331773171191808/TAv5yST9.jpg","View")</f>
        <v>View</v>
      </c>
    </row>
    <row r="759" spans="1:21" ht="40.799999999999997">
      <c r="A759" s="6">
        <v>43439.900011574078</v>
      </c>
      <c r="B759" s="7" t="str">
        <f>HYPERLINK("https://twitter.com/embalajedigital","@embalajedigital")</f>
        <v>@embalajedigital</v>
      </c>
      <c r="C759" s="8" t="s">
        <v>2724</v>
      </c>
      <c r="D759" s="9" t="s">
        <v>2725</v>
      </c>
      <c r="E759" s="10" t="str">
        <f>HYPERLINK("https://twitter.com/embalajedigital/status/1070416523037237248","1070416523037237248")</f>
        <v>1070416523037237248</v>
      </c>
      <c r="F759" s="16" t="s">
        <v>2726</v>
      </c>
      <c r="G759" s="12"/>
      <c r="H759" s="12"/>
      <c r="I759" s="13">
        <v>0</v>
      </c>
      <c r="J759" s="13">
        <v>0</v>
      </c>
      <c r="K759" s="14" t="str">
        <f>HYPERLINK("https://buffer.com","Buffer")</f>
        <v>Buffer</v>
      </c>
      <c r="L759" s="13">
        <v>10304</v>
      </c>
      <c r="M759" s="13">
        <v>5944</v>
      </c>
      <c r="N759" s="13">
        <v>124</v>
      </c>
      <c r="O759" s="15"/>
      <c r="P759" s="6">
        <v>40620.592523148152</v>
      </c>
      <c r="Q759" s="16" t="s">
        <v>2727</v>
      </c>
      <c r="R759" s="17" t="s">
        <v>2728</v>
      </c>
      <c r="S759" s="11" t="s">
        <v>2729</v>
      </c>
      <c r="T759" s="12"/>
      <c r="U759" s="10" t="str">
        <f>HYPERLINK("https://pbs.twimg.com/profile_images/736666501919428609/CvbGQ0px.jpg","View")</f>
        <v>View</v>
      </c>
    </row>
    <row r="760" spans="1:21" ht="51">
      <c r="A760" s="6">
        <v>43439.89565972222</v>
      </c>
      <c r="B760" s="7" t="str">
        <f>HYPERLINK("https://twitter.com/XuanCandano","@XuanCandano")</f>
        <v>@XuanCandano</v>
      </c>
      <c r="C760" s="8" t="s">
        <v>2730</v>
      </c>
      <c r="D760" s="9" t="s">
        <v>2731</v>
      </c>
      <c r="E760" s="10" t="str">
        <f>HYPERLINK("https://twitter.com/XuanCandano/status/1070414945949532160","1070414945949532160")</f>
        <v>1070414945949532160</v>
      </c>
      <c r="F760" s="12"/>
      <c r="G760" s="12"/>
      <c r="H760" s="12"/>
      <c r="I760" s="13">
        <v>3</v>
      </c>
      <c r="J760" s="13">
        <v>8</v>
      </c>
      <c r="K760" s="14" t="str">
        <f>HYPERLINK("http://twitter.com","Twitter Web Client")</f>
        <v>Twitter Web Client</v>
      </c>
      <c r="L760" s="13">
        <v>2064</v>
      </c>
      <c r="M760" s="13">
        <v>1064</v>
      </c>
      <c r="N760" s="13">
        <v>44</v>
      </c>
      <c r="O760" s="15"/>
      <c r="P760" s="6">
        <v>41720.820590277777</v>
      </c>
      <c r="Q760" s="16" t="s">
        <v>563</v>
      </c>
      <c r="R760" s="17" t="s">
        <v>2732</v>
      </c>
      <c r="S760" s="11" t="s">
        <v>2733</v>
      </c>
      <c r="T760" s="12"/>
      <c r="U760" s="10" t="str">
        <f>HYPERLINK("https://pbs.twimg.com/profile_images/447446493473943552/oHuITEm_.jpeg","View")</f>
        <v>View</v>
      </c>
    </row>
    <row r="761" spans="1:21" ht="20.399999999999999">
      <c r="A761" s="6">
        <v>43439.885578703703</v>
      </c>
      <c r="B761" s="7" t="str">
        <f>HYPERLINK("https://twitter.com/mr_ghost33","@mr_ghost33")</f>
        <v>@mr_ghost33</v>
      </c>
      <c r="C761" s="8" t="s">
        <v>2734</v>
      </c>
      <c r="D761" s="9" t="s">
        <v>2735</v>
      </c>
      <c r="E761" s="10" t="str">
        <f>HYPERLINK("https://twitter.com/mr_ghost33/status/1070411293016948736","1070411293016948736")</f>
        <v>1070411293016948736</v>
      </c>
      <c r="F761" s="11" t="s">
        <v>2736</v>
      </c>
      <c r="G761" s="12"/>
      <c r="H761" s="12"/>
      <c r="I761" s="13">
        <v>0</v>
      </c>
      <c r="J761" s="13">
        <v>0</v>
      </c>
      <c r="K761" s="14" t="str">
        <f>HYPERLINK("https://www.google.com/","Google")</f>
        <v>Google</v>
      </c>
      <c r="L761" s="13">
        <v>470</v>
      </c>
      <c r="M761" s="13">
        <v>2341</v>
      </c>
      <c r="N761" s="13">
        <v>3</v>
      </c>
      <c r="O761" s="15"/>
      <c r="P761" s="6">
        <v>42064.971168981487</v>
      </c>
      <c r="Q761" s="16" t="s">
        <v>2737</v>
      </c>
      <c r="R761" s="20"/>
      <c r="S761" s="12"/>
      <c r="T761" s="12"/>
      <c r="U761" s="10" t="str">
        <f>HYPERLINK("https://pbs.twimg.com/profile_images/1009861799695601664/XQD0hsyQ.jpg","View")</f>
        <v>View</v>
      </c>
    </row>
    <row r="762" spans="1:21" ht="30.6">
      <c r="A762" s="6">
        <v>43439.880833333329</v>
      </c>
      <c r="B762" s="7" t="str">
        <f>HYPERLINK("https://twitter.com/RadioCordobaSER","@RadioCordobaSER")</f>
        <v>@RadioCordobaSER</v>
      </c>
      <c r="C762" s="8" t="s">
        <v>2738</v>
      </c>
      <c r="D762" s="9" t="s">
        <v>2739</v>
      </c>
      <c r="E762" s="10" t="str">
        <f>HYPERLINK("https://twitter.com/RadioCordobaSER/status/1070409575290032129","1070409575290032129")</f>
        <v>1070409575290032129</v>
      </c>
      <c r="F762" s="11" t="s">
        <v>2740</v>
      </c>
      <c r="G762" s="12"/>
      <c r="H762" s="12"/>
      <c r="I762" s="13">
        <v>0</v>
      </c>
      <c r="J762" s="13">
        <v>0</v>
      </c>
      <c r="K762" s="14" t="str">
        <f>HYPERLINK("http://twitter.com","Twitter Web Client")</f>
        <v>Twitter Web Client</v>
      </c>
      <c r="L762" s="13">
        <v>6209</v>
      </c>
      <c r="M762" s="13">
        <v>111</v>
      </c>
      <c r="N762" s="13">
        <v>139</v>
      </c>
      <c r="O762" s="15"/>
      <c r="P762" s="6">
        <v>40667.452685185184</v>
      </c>
      <c r="Q762" s="12"/>
      <c r="R762" s="17" t="s">
        <v>2741</v>
      </c>
      <c r="S762" s="11" t="s">
        <v>2742</v>
      </c>
      <c r="T762" s="12"/>
      <c r="U762" s="10" t="str">
        <f>HYPERLINK("https://pbs.twimg.com/profile_images/920582578255646720/h2c3CthV.jpg","View")</f>
        <v>View</v>
      </c>
    </row>
    <row r="763" spans="1:21" ht="30.6">
      <c r="A763" s="6">
        <v>43439.874178240745</v>
      </c>
      <c r="B763" s="7" t="str">
        <f>HYPERLINK("https://twitter.com/periodicovzlano","@periodicovzlano")</f>
        <v>@periodicovzlano</v>
      </c>
      <c r="C763" s="8" t="s">
        <v>2671</v>
      </c>
      <c r="D763" s="9" t="s">
        <v>2672</v>
      </c>
      <c r="E763" s="10" t="str">
        <f>HYPERLINK("https://twitter.com/periodicovzlano/status/1070407163623993344","1070407163623993344")</f>
        <v>1070407163623993344</v>
      </c>
      <c r="F763" s="11" t="s">
        <v>2673</v>
      </c>
      <c r="G763" s="11" t="s">
        <v>2743</v>
      </c>
      <c r="H763" s="12"/>
      <c r="I763" s="13">
        <v>1</v>
      </c>
      <c r="J763" s="13">
        <v>0</v>
      </c>
      <c r="K763" s="14" t="str">
        <f>HYPERLINK("http://epmundo.com","Tuiteo TOP EP (1)")</f>
        <v>Tuiteo TOP EP (1)</v>
      </c>
      <c r="L763" s="13">
        <v>479694</v>
      </c>
      <c r="M763" s="13">
        <v>358804</v>
      </c>
      <c r="N763" s="13">
        <v>1295</v>
      </c>
      <c r="O763" s="15"/>
      <c r="P763" s="6">
        <v>40663.3512962963</v>
      </c>
      <c r="Q763" s="16" t="s">
        <v>861</v>
      </c>
      <c r="R763" s="17" t="s">
        <v>2675</v>
      </c>
      <c r="S763" s="11" t="s">
        <v>2676</v>
      </c>
      <c r="T763" s="12"/>
      <c r="U763" s="10" t="str">
        <f>HYPERLINK("https://pbs.twimg.com/profile_images/958328579250638849/MCz7Q8U6.jpg","View")</f>
        <v>View</v>
      </c>
    </row>
    <row r="764" spans="1:21" ht="30.6">
      <c r="A764" s="6">
        <v>43439.872766203705</v>
      </c>
      <c r="B764" s="7" t="str">
        <f>HYPERLINK("https://twitter.com/isaabel_ruiz","@isaabel_ruiz")</f>
        <v>@isaabel_ruiz</v>
      </c>
      <c r="C764" s="8" t="s">
        <v>2744</v>
      </c>
      <c r="D764" s="9" t="s">
        <v>2745</v>
      </c>
      <c r="E764" s="10" t="str">
        <f>HYPERLINK("https://twitter.com/isaabel_ruiz/status/1070406649360330753","1070406649360330753")</f>
        <v>1070406649360330753</v>
      </c>
      <c r="F764" s="12"/>
      <c r="G764" s="12"/>
      <c r="H764" s="12"/>
      <c r="I764" s="13">
        <v>0</v>
      </c>
      <c r="J764" s="13">
        <v>1</v>
      </c>
      <c r="K764" s="14" t="str">
        <f>HYPERLINK("http://twitter.com/download/iphone","Twitter for iPhone")</f>
        <v>Twitter for iPhone</v>
      </c>
      <c r="L764" s="13">
        <v>368</v>
      </c>
      <c r="M764" s="13">
        <v>491</v>
      </c>
      <c r="N764" s="13">
        <v>1</v>
      </c>
      <c r="O764" s="15"/>
      <c r="P764" s="6">
        <v>42349.690625000003</v>
      </c>
      <c r="Q764" s="12"/>
      <c r="R764" s="17" t="s">
        <v>2746</v>
      </c>
      <c r="S764" s="12"/>
      <c r="T764" s="12"/>
      <c r="U764" s="10" t="str">
        <f>HYPERLINK("https://pbs.twimg.com/profile_images/1062775088594989056/y_IJG71c.jpg","View")</f>
        <v>View</v>
      </c>
    </row>
    <row r="765" spans="1:21" ht="51">
      <c r="A765" s="6">
        <v>43439.868657407409</v>
      </c>
      <c r="B765" s="7" t="str">
        <f>HYPERLINK("https://twitter.com/JC_C_A","@JC_C_A")</f>
        <v>@JC_C_A</v>
      </c>
      <c r="C765" s="8" t="s">
        <v>630</v>
      </c>
      <c r="D765" s="9" t="s">
        <v>2747</v>
      </c>
      <c r="E765" s="10" t="str">
        <f>HYPERLINK("https://twitter.com/JC_C_A/status/1070405161691029508","1070405161691029508")</f>
        <v>1070405161691029508</v>
      </c>
      <c r="F765" s="12"/>
      <c r="G765" s="12"/>
      <c r="H765" s="12"/>
      <c r="I765" s="13">
        <v>6</v>
      </c>
      <c r="J765" s="13">
        <v>5</v>
      </c>
      <c r="K765" s="14" t="str">
        <f>HYPERLINK("http://twitter.com/download/android","Twitter for Android")</f>
        <v>Twitter for Android</v>
      </c>
      <c r="L765" s="13">
        <v>1535</v>
      </c>
      <c r="M765" s="13">
        <v>1285</v>
      </c>
      <c r="N765" s="13">
        <v>4</v>
      </c>
      <c r="O765" s="15"/>
      <c r="P765" s="6">
        <v>43055.93885416667</v>
      </c>
      <c r="Q765" s="16" t="s">
        <v>632</v>
      </c>
      <c r="R765" s="17" t="s">
        <v>633</v>
      </c>
      <c r="S765" s="12"/>
      <c r="T765" s="12"/>
      <c r="U765" s="10" t="str">
        <f>HYPERLINK("https://pbs.twimg.com/profile_images/1029775179520647169/gj_YgLkP.jpg","View")</f>
        <v>View</v>
      </c>
    </row>
    <row r="766" spans="1:21" ht="51">
      <c r="A766" s="6">
        <v>43439.86518518519</v>
      </c>
      <c r="B766" s="7" t="str">
        <f>HYPERLINK("https://twitter.com/fpaniaguaocr","@fpaniaguaocr")</f>
        <v>@fpaniaguaocr</v>
      </c>
      <c r="C766" s="8" t="s">
        <v>2748</v>
      </c>
      <c r="D766" s="9" t="s">
        <v>2749</v>
      </c>
      <c r="E766" s="10" t="str">
        <f>HYPERLINK("https://twitter.com/fpaniaguaocr/status/1070403902951096321","1070403902951096321")</f>
        <v>1070403902951096321</v>
      </c>
      <c r="F766" s="12"/>
      <c r="G766" s="11" t="s">
        <v>2750</v>
      </c>
      <c r="H766" s="12"/>
      <c r="I766" s="13">
        <v>4</v>
      </c>
      <c r="J766" s="13">
        <v>9</v>
      </c>
      <c r="K766" s="14" t="str">
        <f>HYPERLINK("http://twitter.com/download/iphone","Twitter for iPhone")</f>
        <v>Twitter for iPhone</v>
      </c>
      <c r="L766" s="13">
        <v>1085</v>
      </c>
      <c r="M766" s="13">
        <v>198</v>
      </c>
      <c r="N766" s="13">
        <v>34</v>
      </c>
      <c r="O766" s="15"/>
      <c r="P766" s="6">
        <v>40440.992106481484</v>
      </c>
      <c r="Q766" s="16" t="s">
        <v>1500</v>
      </c>
      <c r="R766" s="17" t="s">
        <v>2751</v>
      </c>
      <c r="S766" s="11" t="s">
        <v>2752</v>
      </c>
      <c r="T766" s="12"/>
      <c r="U766" s="10" t="str">
        <f>HYPERLINK("https://pbs.twimg.com/profile_images/1050815641584893952/1lvI992f.jpg","View")</f>
        <v>View</v>
      </c>
    </row>
    <row r="767" spans="1:21" ht="102">
      <c r="A767" s="6">
        <v>43439.865023148144</v>
      </c>
      <c r="B767" s="7" t="str">
        <f>HYPERLINK("https://twitter.com/_alice666","@_alice666")</f>
        <v>@_alice666</v>
      </c>
      <c r="C767" s="8" t="s">
        <v>2753</v>
      </c>
      <c r="D767" s="9" t="s">
        <v>2754</v>
      </c>
      <c r="E767" s="10" t="str">
        <f>HYPERLINK("https://twitter.com/_alice666/status/1070403844981620736","1070403844981620736")</f>
        <v>1070403844981620736</v>
      </c>
      <c r="F767" s="16" t="s">
        <v>2755</v>
      </c>
      <c r="G767" s="11" t="s">
        <v>2756</v>
      </c>
      <c r="H767" s="12"/>
      <c r="I767" s="13">
        <v>0</v>
      </c>
      <c r="J767" s="13">
        <v>0</v>
      </c>
      <c r="K767" s="14" t="str">
        <f t="shared" ref="K767:K768" si="138">HYPERLINK("http://twitter.com","Twitter Web Client")</f>
        <v>Twitter Web Client</v>
      </c>
      <c r="L767" s="13">
        <v>908</v>
      </c>
      <c r="M767" s="13">
        <v>652</v>
      </c>
      <c r="N767" s="13">
        <v>76</v>
      </c>
      <c r="O767" s="15"/>
      <c r="P767" s="6">
        <v>41356.848726851851</v>
      </c>
      <c r="Q767" s="16" t="s">
        <v>2757</v>
      </c>
      <c r="R767" s="17" t="s">
        <v>2758</v>
      </c>
      <c r="S767" s="12"/>
      <c r="T767" s="12"/>
      <c r="U767" s="10" t="str">
        <f>HYPERLINK("https://pbs.twimg.com/profile_images/1069905622810935296/Xe0rUagt.jpg","View")</f>
        <v>View</v>
      </c>
    </row>
    <row r="768" spans="1:21" ht="51">
      <c r="A768" s="6">
        <v>43439.861550925925</v>
      </c>
      <c r="B768" s="7" t="str">
        <f>HYPERLINK("https://twitter.com/bember52","@bember52")</f>
        <v>@bember52</v>
      </c>
      <c r="C768" s="8" t="s">
        <v>2759</v>
      </c>
      <c r="D768" s="9" t="s">
        <v>2760</v>
      </c>
      <c r="E768" s="10" t="str">
        <f>HYPERLINK("https://twitter.com/bember52/status/1070402586992394240","1070402586992394240")</f>
        <v>1070402586992394240</v>
      </c>
      <c r="F768" s="12"/>
      <c r="G768" s="12"/>
      <c r="H768" s="12"/>
      <c r="I768" s="13">
        <v>0</v>
      </c>
      <c r="J768" s="13">
        <v>0</v>
      </c>
      <c r="K768" s="14" t="str">
        <f t="shared" si="138"/>
        <v>Twitter Web Client</v>
      </c>
      <c r="L768" s="13">
        <v>206</v>
      </c>
      <c r="M768" s="13">
        <v>308</v>
      </c>
      <c r="N768" s="13">
        <v>7</v>
      </c>
      <c r="O768" s="15"/>
      <c r="P768" s="6">
        <v>40935.486898148149</v>
      </c>
      <c r="Q768" s="12"/>
      <c r="R768" s="17" t="s">
        <v>2761</v>
      </c>
      <c r="S768" s="12"/>
      <c r="T768" s="12"/>
      <c r="U768" s="10" t="str">
        <f>HYPERLINK("https://pbs.twimg.com/profile_images/1071018196679970821/gd6gmWNY.jpg","View")</f>
        <v>View</v>
      </c>
    </row>
    <row r="769" spans="1:21" ht="20.399999999999999">
      <c r="A769" s="6">
        <v>43439.855590277773</v>
      </c>
      <c r="B769" s="7" t="str">
        <f>HYPERLINK("https://twitter.com/EP_Mundo","@EP_Mundo")</f>
        <v>@EP_Mundo</v>
      </c>
      <c r="C769" s="8" t="s">
        <v>2762</v>
      </c>
      <c r="D769" s="9" t="s">
        <v>2718</v>
      </c>
      <c r="E769" s="10" t="str">
        <f>HYPERLINK("https://twitter.com/EP_Mundo/status/1070400425608822785","1070400425608822785")</f>
        <v>1070400425608822785</v>
      </c>
      <c r="F769" s="11" t="s">
        <v>2673</v>
      </c>
      <c r="G769" s="11" t="s">
        <v>2763</v>
      </c>
      <c r="H769" s="12"/>
      <c r="I769" s="13">
        <v>0</v>
      </c>
      <c r="J769" s="13">
        <v>0</v>
      </c>
      <c r="K769" s="14" t="str">
        <f>HYPERLINK("http://epmundo.com","Tuiteo TOP EP (2)")</f>
        <v>Tuiteo TOP EP (2)</v>
      </c>
      <c r="L769" s="13">
        <v>510219</v>
      </c>
      <c r="M769" s="13">
        <v>301867</v>
      </c>
      <c r="N769" s="13">
        <v>1363</v>
      </c>
      <c r="O769" s="15"/>
      <c r="P769" s="6">
        <v>40203.223078703704</v>
      </c>
      <c r="Q769" s="12"/>
      <c r="R769" s="17" t="s">
        <v>2764</v>
      </c>
      <c r="S769" s="11" t="s">
        <v>2765</v>
      </c>
      <c r="T769" s="12"/>
      <c r="U769" s="10" t="str">
        <f>HYPERLINK("https://pbs.twimg.com/profile_images/958329583778099200/87-xiuzB.jpg","View")</f>
        <v>View</v>
      </c>
    </row>
    <row r="770" spans="1:21" ht="40.799999999999997">
      <c r="A770" s="6">
        <v>43439.837893518517</v>
      </c>
      <c r="B770" s="7" t="str">
        <f>HYPERLINK("https://twitter.com/diariodeteruel","@diariodeteruel")</f>
        <v>@diariodeteruel</v>
      </c>
      <c r="C770" s="8" t="s">
        <v>1872</v>
      </c>
      <c r="D770" s="9" t="s">
        <v>2766</v>
      </c>
      <c r="E770" s="10" t="str">
        <f>HYPERLINK("https://twitter.com/diariodeteruel/status/1070394013818241025","1070394013818241025")</f>
        <v>1070394013818241025</v>
      </c>
      <c r="F770" s="11" t="s">
        <v>2767</v>
      </c>
      <c r="G770" s="12"/>
      <c r="H770" s="12"/>
      <c r="I770" s="13">
        <v>1</v>
      </c>
      <c r="J770" s="13">
        <v>0</v>
      </c>
      <c r="K770" s="14" t="str">
        <f t="shared" ref="K770:K773" si="139">HYPERLINK("http://twitter.com","Twitter Web Client")</f>
        <v>Twitter Web Client</v>
      </c>
      <c r="L770" s="13">
        <v>11603</v>
      </c>
      <c r="M770" s="13">
        <v>556</v>
      </c>
      <c r="N770" s="13">
        <v>223</v>
      </c>
      <c r="O770" s="15"/>
      <c r="P770" s="6">
        <v>40337.80259259259</v>
      </c>
      <c r="Q770" s="16" t="s">
        <v>1875</v>
      </c>
      <c r="R770" s="17" t="s">
        <v>1876</v>
      </c>
      <c r="S770" s="11" t="s">
        <v>1877</v>
      </c>
      <c r="T770" s="12"/>
      <c r="U770" s="10" t="str">
        <f>HYPERLINK("https://pbs.twimg.com/profile_images/2992653372/e27534bfc6ddb13e4dc80163b70127e9.jpeg","View")</f>
        <v>View</v>
      </c>
    </row>
    <row r="771" spans="1:21" ht="40.799999999999997">
      <c r="A771" s="6">
        <v>43439.825300925921</v>
      </c>
      <c r="B771" s="7" t="str">
        <f>HYPERLINK("https://twitter.com/jluismant","@jluismant")</f>
        <v>@jluismant</v>
      </c>
      <c r="C771" s="8" t="s">
        <v>2768</v>
      </c>
      <c r="D771" s="9" t="s">
        <v>2769</v>
      </c>
      <c r="E771" s="10" t="str">
        <f>HYPERLINK("https://twitter.com/jluismant/status/1070389450214174721","1070389450214174721")</f>
        <v>1070389450214174721</v>
      </c>
      <c r="F771" s="12"/>
      <c r="G771" s="12"/>
      <c r="H771" s="12"/>
      <c r="I771" s="13">
        <v>0</v>
      </c>
      <c r="J771" s="13">
        <v>0</v>
      </c>
      <c r="K771" s="14" t="str">
        <f t="shared" si="139"/>
        <v>Twitter Web Client</v>
      </c>
      <c r="L771" s="13">
        <v>1891</v>
      </c>
      <c r="M771" s="13">
        <v>1452</v>
      </c>
      <c r="N771" s="13">
        <v>21</v>
      </c>
      <c r="O771" s="15"/>
      <c r="P771" s="6">
        <v>41082.446689814817</v>
      </c>
      <c r="Q771" s="16" t="s">
        <v>2770</v>
      </c>
      <c r="R771" s="17" t="s">
        <v>2771</v>
      </c>
      <c r="S771" s="12"/>
      <c r="T771" s="12"/>
      <c r="U771" s="10" t="str">
        <f>HYPERLINK("https://pbs.twimg.com/profile_images/674006269326467072/sSIGTMcU.jpg","View")</f>
        <v>View</v>
      </c>
    </row>
    <row r="772" spans="1:21" ht="51">
      <c r="A772" s="6">
        <v>43439.825173611112</v>
      </c>
      <c r="B772" s="7" t="str">
        <f>HYPERLINK("https://twitter.com/EFE_Murcia","@EFE_Murcia")</f>
        <v>@EFE_Murcia</v>
      </c>
      <c r="C772" s="8" t="s">
        <v>211</v>
      </c>
      <c r="D772" s="9" t="s">
        <v>2772</v>
      </c>
      <c r="E772" s="10" t="str">
        <f>HYPERLINK("https://twitter.com/EFE_Murcia/status/1070389403900674049","1070389403900674049")</f>
        <v>1070389403900674049</v>
      </c>
      <c r="F772" s="12"/>
      <c r="G772" s="11" t="s">
        <v>2773</v>
      </c>
      <c r="H772" s="12"/>
      <c r="I772" s="13">
        <v>0</v>
      </c>
      <c r="J772" s="13">
        <v>0</v>
      </c>
      <c r="K772" s="14" t="str">
        <f t="shared" si="139"/>
        <v>Twitter Web Client</v>
      </c>
      <c r="L772" s="13">
        <v>796</v>
      </c>
      <c r="M772" s="13">
        <v>218</v>
      </c>
      <c r="N772" s="13">
        <v>19</v>
      </c>
      <c r="O772" s="15"/>
      <c r="P772" s="6">
        <v>42080.789930555555</v>
      </c>
      <c r="Q772" s="16" t="s">
        <v>96</v>
      </c>
      <c r="R772" s="17" t="s">
        <v>214</v>
      </c>
      <c r="S772" s="11" t="s">
        <v>168</v>
      </c>
      <c r="T772" s="12"/>
      <c r="U772" s="10" t="str">
        <f>HYPERLINK("https://pbs.twimg.com/profile_images/628209894202703873/iWZEsZZ9.png","View")</f>
        <v>View</v>
      </c>
    </row>
    <row r="773" spans="1:21" ht="13.2">
      <c r="A773" s="6">
        <v>43439.822118055556</v>
      </c>
      <c r="B773" s="7" t="str">
        <f>HYPERLINK("https://twitter.com/vdiazm1_diaz","@vdiazm1_diaz")</f>
        <v>@vdiazm1_diaz</v>
      </c>
      <c r="C773" s="8" t="s">
        <v>766</v>
      </c>
      <c r="D773" s="9" t="s">
        <v>2524</v>
      </c>
      <c r="E773" s="10" t="str">
        <f>HYPERLINK("https://twitter.com/vdiazm1_diaz/status/1070388298860892161","1070388298860892161")</f>
        <v>1070388298860892161</v>
      </c>
      <c r="F773" s="11" t="s">
        <v>2525</v>
      </c>
      <c r="G773" s="12"/>
      <c r="H773" s="12"/>
      <c r="I773" s="13">
        <v>0</v>
      </c>
      <c r="J773" s="13">
        <v>0</v>
      </c>
      <c r="K773" s="14" t="str">
        <f t="shared" si="139"/>
        <v>Twitter Web Client</v>
      </c>
      <c r="L773" s="13">
        <v>248</v>
      </c>
      <c r="M773" s="13">
        <v>749</v>
      </c>
      <c r="N773" s="13">
        <v>4</v>
      </c>
      <c r="O773" s="15"/>
      <c r="P773" s="6">
        <v>41249.679791666669</v>
      </c>
      <c r="Q773" s="16" t="s">
        <v>229</v>
      </c>
      <c r="R773" s="20"/>
      <c r="S773" s="12"/>
      <c r="T773" s="12"/>
      <c r="U773" s="10" t="str">
        <f>HYPERLINK("https://pbs.twimg.com/profile_images/3064758577/4c08a7e2ae9b38632be10321609a9233.jpeg","View")</f>
        <v>View</v>
      </c>
    </row>
    <row r="774" spans="1:21" ht="40.799999999999997">
      <c r="A774" s="6">
        <v>43439.818541666667</v>
      </c>
      <c r="B774" s="7" t="str">
        <f>HYPERLINK("https://twitter.com/lahistoesmeme","@lahistoesmeme")</f>
        <v>@lahistoesmeme</v>
      </c>
      <c r="C774" s="8" t="s">
        <v>2774</v>
      </c>
      <c r="D774" s="9" t="s">
        <v>2775</v>
      </c>
      <c r="E774" s="10" t="str">
        <f>HYPERLINK("https://twitter.com/lahistoesmeme/status/1070386999658450944","1070386999658450944")</f>
        <v>1070386999658450944</v>
      </c>
      <c r="F774" s="12"/>
      <c r="G774" s="11" t="s">
        <v>2776</v>
      </c>
      <c r="H774" s="12"/>
      <c r="I774" s="13">
        <v>55</v>
      </c>
      <c r="J774" s="13">
        <v>184</v>
      </c>
      <c r="K774" s="14" t="str">
        <f>HYPERLINK("http://twitter.com/download/android","Twitter for Android")</f>
        <v>Twitter for Android</v>
      </c>
      <c r="L774" s="13">
        <v>17196</v>
      </c>
      <c r="M774" s="13">
        <v>428</v>
      </c>
      <c r="N774" s="13">
        <v>65</v>
      </c>
      <c r="O774" s="15"/>
      <c r="P774" s="6">
        <v>43027.832314814819</v>
      </c>
      <c r="Q774" s="16" t="s">
        <v>2777</v>
      </c>
      <c r="R774" s="17" t="s">
        <v>2778</v>
      </c>
      <c r="S774" s="11" t="s">
        <v>2779</v>
      </c>
      <c r="T774" s="12"/>
      <c r="U774" s="10" t="str">
        <f>HYPERLINK("https://pbs.twimg.com/profile_images/1028608269923831808/r0rnDy-w.jpg","View")</f>
        <v>View</v>
      </c>
    </row>
    <row r="775" spans="1:21" ht="61.2">
      <c r="A775" s="6">
        <v>43439.814837962964</v>
      </c>
      <c r="B775" s="7" t="str">
        <f>HYPERLINK("https://twitter.com/MayorReisman","@MayorReisman")</f>
        <v>@MayorReisman</v>
      </c>
      <c r="C775" s="8" t="s">
        <v>2780</v>
      </c>
      <c r="D775" s="9" t="s">
        <v>2781</v>
      </c>
      <c r="E775" s="10" t="str">
        <f>HYPERLINK("https://twitter.com/MayorReisman/status/1070385659045707779","1070385659045707779")</f>
        <v>1070385659045707779</v>
      </c>
      <c r="F775" s="16" t="s">
        <v>2782</v>
      </c>
      <c r="G775" s="12"/>
      <c r="H775" s="12"/>
      <c r="I775" s="13">
        <v>0</v>
      </c>
      <c r="J775" s="13">
        <v>0</v>
      </c>
      <c r="K775" s="14" t="str">
        <f>HYPERLINK("http://twitter.com","Twitter Web Client")</f>
        <v>Twitter Web Client</v>
      </c>
      <c r="L775" s="13">
        <v>142</v>
      </c>
      <c r="M775" s="13">
        <v>174</v>
      </c>
      <c r="N775" s="13">
        <v>5</v>
      </c>
      <c r="O775" s="15"/>
      <c r="P775" s="6">
        <v>40848.745196759257</v>
      </c>
      <c r="Q775" s="12"/>
      <c r="R775" s="17" t="s">
        <v>2783</v>
      </c>
      <c r="S775" s="11" t="s">
        <v>2784</v>
      </c>
      <c r="T775" s="12"/>
      <c r="U775" s="10" t="str">
        <f>HYPERLINK("https://pbs.twimg.com/profile_images/1617502274/reisman.jpg","View")</f>
        <v>View</v>
      </c>
    </row>
    <row r="776" spans="1:21" ht="40.799999999999997">
      <c r="A776" s="6">
        <v>43439.812939814816</v>
      </c>
      <c r="B776" s="7" t="str">
        <f>HYPERLINK("https://twitter.com/casturianobcn","@casturianobcn")</f>
        <v>@casturianobcn</v>
      </c>
      <c r="C776" s="8" t="s">
        <v>2785</v>
      </c>
      <c r="D776" s="27" t="s">
        <v>2786</v>
      </c>
      <c r="E776" s="10" t="str">
        <f>HYPERLINK("https://twitter.com/casturianobcn/status/1070384969984471040","1070384969984471040")</f>
        <v>1070384969984471040</v>
      </c>
      <c r="F776" s="16" t="s">
        <v>2787</v>
      </c>
      <c r="G776" s="12"/>
      <c r="H776" s="12"/>
      <c r="I776" s="13">
        <v>9</v>
      </c>
      <c r="J776" s="13">
        <v>22</v>
      </c>
      <c r="K776" s="14" t="str">
        <f>HYPERLINK("https://ifttt.com","IFTTT")</f>
        <v>IFTTT</v>
      </c>
      <c r="L776" s="13">
        <v>48</v>
      </c>
      <c r="M776" s="13">
        <v>140</v>
      </c>
      <c r="N776" s="13">
        <v>0</v>
      </c>
      <c r="O776" s="15"/>
      <c r="P776" s="6">
        <v>42924.454386574071</v>
      </c>
      <c r="Q776" s="16" t="s">
        <v>2788</v>
      </c>
      <c r="R776" s="17" t="s">
        <v>2789</v>
      </c>
      <c r="S776" s="11" t="s">
        <v>2790</v>
      </c>
      <c r="T776" s="12"/>
      <c r="U776" s="10" t="str">
        <f>HYPERLINK("https://pbs.twimg.com/profile_images/1031575573859115008/VaMwoD_I.jpg","View")</f>
        <v>View</v>
      </c>
    </row>
    <row r="777" spans="1:21" ht="40.799999999999997">
      <c r="A777" s="6">
        <v>43439.812592592592</v>
      </c>
      <c r="B777" s="7" t="str">
        <f>HYPERLINK("https://twitter.com/lextresabogados","@lextresabogados")</f>
        <v>@lextresabogados</v>
      </c>
      <c r="C777" s="8" t="s">
        <v>1379</v>
      </c>
      <c r="D777" s="27" t="s">
        <v>2791</v>
      </c>
      <c r="E777" s="10" t="str">
        <f>HYPERLINK("https://twitter.com/lextresabogados/status/1070384843022843906","1070384843022843906")</f>
        <v>1070384843022843906</v>
      </c>
      <c r="F777" s="11" t="s">
        <v>2792</v>
      </c>
      <c r="G777" s="12"/>
      <c r="H777" s="12"/>
      <c r="I777" s="13">
        <v>0</v>
      </c>
      <c r="J777" s="13">
        <v>0</v>
      </c>
      <c r="K777" s="14" t="str">
        <f>HYPERLINK("http://35.180.36.179","botize nueva")</f>
        <v>botize nueva</v>
      </c>
      <c r="L777" s="13">
        <v>2912</v>
      </c>
      <c r="M777" s="13">
        <v>3525</v>
      </c>
      <c r="N777" s="13">
        <v>26</v>
      </c>
      <c r="O777" s="15"/>
      <c r="P777" s="6">
        <v>42880.770949074074</v>
      </c>
      <c r="Q777" s="16" t="s">
        <v>1130</v>
      </c>
      <c r="R777" s="17" t="s">
        <v>1383</v>
      </c>
      <c r="S777" s="11" t="s">
        <v>1384</v>
      </c>
      <c r="T777" s="12"/>
      <c r="U777" s="10" t="str">
        <f>HYPERLINK("https://pbs.twimg.com/profile_images/1068056978679898113/YnjKwiVy.jpg","View")</f>
        <v>View</v>
      </c>
    </row>
    <row r="778" spans="1:21" ht="20.399999999999999">
      <c r="A778" s="6">
        <v>43439.801712962959</v>
      </c>
      <c r="B778" s="7" t="str">
        <f>HYPERLINK("https://twitter.com/franciscoaceta","@franciscoaceta")</f>
        <v>@franciscoaceta</v>
      </c>
      <c r="C778" s="8" t="s">
        <v>2793</v>
      </c>
      <c r="D778" s="9" t="s">
        <v>2794</v>
      </c>
      <c r="E778" s="10" t="str">
        <f>HYPERLINK("https://twitter.com/franciscoaceta/status/1070380901098553344","1070380901098553344")</f>
        <v>1070380901098553344</v>
      </c>
      <c r="F778" s="12"/>
      <c r="G778" s="12"/>
      <c r="H778" s="12"/>
      <c r="I778" s="13">
        <v>5</v>
      </c>
      <c r="J778" s="13">
        <v>1</v>
      </c>
      <c r="K778" s="14" t="str">
        <f t="shared" ref="K778:K779" si="140">HYPERLINK("http://twitter.com","Twitter Web Client")</f>
        <v>Twitter Web Client</v>
      </c>
      <c r="L778" s="13">
        <v>38935</v>
      </c>
      <c r="M778" s="13">
        <v>38972</v>
      </c>
      <c r="N778" s="13">
        <v>96</v>
      </c>
      <c r="O778" s="15"/>
      <c r="P778" s="6">
        <v>41115.777141203704</v>
      </c>
      <c r="Q778" s="16" t="s">
        <v>2795</v>
      </c>
      <c r="R778" s="17" t="s">
        <v>2796</v>
      </c>
      <c r="S778" s="12"/>
      <c r="T778" s="12"/>
      <c r="U778" s="10" t="str">
        <f>HYPERLINK("https://pbs.twimg.com/profile_images/900404378540154881/3e66CJXI.jpg","View")</f>
        <v>View</v>
      </c>
    </row>
    <row r="779" spans="1:21" ht="20.399999999999999">
      <c r="A779" s="6">
        <v>43439.798414351855</v>
      </c>
      <c r="B779" s="7" t="str">
        <f>HYPERLINK("https://twitter.com/elcomerciodigit","@elcomerciodigit")</f>
        <v>@elcomerciodigit</v>
      </c>
      <c r="C779" s="8" t="s">
        <v>2797</v>
      </c>
      <c r="D779" s="27" t="s">
        <v>2791</v>
      </c>
      <c r="E779" s="10" t="str">
        <f>HYPERLINK("https://twitter.com/elcomerciodigit/status/1070379706447552513","1070379706447552513")</f>
        <v>1070379706447552513</v>
      </c>
      <c r="F779" s="11" t="s">
        <v>2792</v>
      </c>
      <c r="G779" s="12"/>
      <c r="H779" s="12"/>
      <c r="I779" s="13">
        <v>14</v>
      </c>
      <c r="J779" s="13">
        <v>17</v>
      </c>
      <c r="K779" s="14" t="str">
        <f t="shared" si="140"/>
        <v>Twitter Web Client</v>
      </c>
      <c r="L779" s="13">
        <v>114225</v>
      </c>
      <c r="M779" s="13">
        <v>494</v>
      </c>
      <c r="N779" s="13">
        <v>1369</v>
      </c>
      <c r="O779" s="19" t="s">
        <v>44</v>
      </c>
      <c r="P779" s="6">
        <v>39533.555636574078</v>
      </c>
      <c r="Q779" s="16" t="s">
        <v>2798</v>
      </c>
      <c r="R779" s="17" t="s">
        <v>2799</v>
      </c>
      <c r="S779" s="11" t="s">
        <v>2800</v>
      </c>
      <c r="T779" s="12"/>
      <c r="U779" s="10" t="str">
        <f>HYPERLINK("https://pbs.twimg.com/profile_images/882358443226447872/yLlGszTB.jpg","View")</f>
        <v>View</v>
      </c>
    </row>
    <row r="780" spans="1:21" ht="30.6">
      <c r="A780" s="6">
        <v>43439.78334490741</v>
      </c>
      <c r="B780" s="7" t="str">
        <f>HYPERLINK("https://twitter.com/eldiarioes","@eldiarioes")</f>
        <v>@eldiarioes</v>
      </c>
      <c r="C780" s="21" t="s">
        <v>964</v>
      </c>
      <c r="D780" s="9" t="s">
        <v>2801</v>
      </c>
      <c r="E780" s="10" t="str">
        <f>HYPERLINK("https://twitter.com/eldiarioes/status/1070374245597818880","1070374245597818880")</f>
        <v>1070374245597818880</v>
      </c>
      <c r="F780" s="11" t="s">
        <v>2802</v>
      </c>
      <c r="G780" s="11" t="s">
        <v>2803</v>
      </c>
      <c r="H780" s="12"/>
      <c r="I780" s="13">
        <v>3</v>
      </c>
      <c r="J780" s="13">
        <v>3</v>
      </c>
      <c r="K780" s="14" t="str">
        <f t="shared" ref="K780:K781" si="141">HYPERLINK("https://about.twitter.com/products/tweetdeck","TweetDeck")</f>
        <v>TweetDeck</v>
      </c>
      <c r="L780" s="13">
        <v>940168</v>
      </c>
      <c r="M780" s="13">
        <v>456</v>
      </c>
      <c r="N780" s="13">
        <v>11261</v>
      </c>
      <c r="O780" s="19" t="s">
        <v>44</v>
      </c>
      <c r="P780" s="6">
        <v>40992.839189814811</v>
      </c>
      <c r="Q780" s="12"/>
      <c r="R780" s="17" t="s">
        <v>965</v>
      </c>
      <c r="S780" s="11" t="s">
        <v>966</v>
      </c>
      <c r="T780" s="12"/>
      <c r="U780" s="10" t="str">
        <f>HYPERLINK("https://pbs.twimg.com/profile_images/1016600645292511232/eYIkIK2s.jpg","View")</f>
        <v>View</v>
      </c>
    </row>
    <row r="781" spans="1:21" ht="51">
      <c r="A781" s="6">
        <v>43439.774305555555</v>
      </c>
      <c r="B781" s="7" t="str">
        <f t="shared" ref="B781:B782" si="142">HYPERLINK("https://twitter.com/caval100","@caval100")</f>
        <v>@caval100</v>
      </c>
      <c r="C781" s="8" t="s">
        <v>72</v>
      </c>
      <c r="D781" s="9" t="s">
        <v>545</v>
      </c>
      <c r="E781" s="10" t="str">
        <f>HYPERLINK("https://twitter.com/caval100/status/1070370969707937797","1070370969707937797")</f>
        <v>1070370969707937797</v>
      </c>
      <c r="F781" s="11" t="s">
        <v>546</v>
      </c>
      <c r="G781" s="12"/>
      <c r="H781" s="12"/>
      <c r="I781" s="13">
        <v>3</v>
      </c>
      <c r="J781" s="13">
        <v>2</v>
      </c>
      <c r="K781" s="14" t="str">
        <f t="shared" si="141"/>
        <v>TweetDeck</v>
      </c>
      <c r="L781" s="13">
        <v>119343</v>
      </c>
      <c r="M781" s="13">
        <v>94000</v>
      </c>
      <c r="N781" s="13">
        <v>982</v>
      </c>
      <c r="O781" s="15"/>
      <c r="P781" s="6">
        <v>40079.437094907407</v>
      </c>
      <c r="Q781" s="16" t="s">
        <v>75</v>
      </c>
      <c r="R781" s="17" t="s">
        <v>76</v>
      </c>
      <c r="S781" s="11" t="s">
        <v>77</v>
      </c>
      <c r="T781" s="12"/>
      <c r="U781" s="10" t="str">
        <f t="shared" ref="U781:U782" si="143">HYPERLINK("https://pbs.twimg.com/profile_images/965350678301429760/uvGI7g8U.jpg","View")</f>
        <v>View</v>
      </c>
    </row>
    <row r="782" spans="1:21" ht="40.799999999999997">
      <c r="A782" s="6">
        <v>43439.77244212963</v>
      </c>
      <c r="B782" s="7" t="str">
        <f t="shared" si="142"/>
        <v>@caval100</v>
      </c>
      <c r="C782" s="8" t="s">
        <v>72</v>
      </c>
      <c r="D782" s="9" t="s">
        <v>2804</v>
      </c>
      <c r="E782" s="10" t="str">
        <f>HYPERLINK("https://twitter.com/caval100/status/1070370293179473920","1070370293179473920")</f>
        <v>1070370293179473920</v>
      </c>
      <c r="F782" s="11" t="s">
        <v>2525</v>
      </c>
      <c r="G782" s="12"/>
      <c r="H782" s="12"/>
      <c r="I782" s="13">
        <v>1</v>
      </c>
      <c r="J782" s="13">
        <v>0</v>
      </c>
      <c r="K782" s="14" t="str">
        <f>HYPERLINK("http://twitter.com/download/android","Twitter for Android")</f>
        <v>Twitter for Android</v>
      </c>
      <c r="L782" s="13">
        <v>119343</v>
      </c>
      <c r="M782" s="13">
        <v>94000</v>
      </c>
      <c r="N782" s="13">
        <v>982</v>
      </c>
      <c r="O782" s="15"/>
      <c r="P782" s="6">
        <v>40079.437094907407</v>
      </c>
      <c r="Q782" s="16" t="s">
        <v>75</v>
      </c>
      <c r="R782" s="17" t="s">
        <v>76</v>
      </c>
      <c r="S782" s="11" t="s">
        <v>77</v>
      </c>
      <c r="T782" s="12"/>
      <c r="U782" s="10" t="str">
        <f t="shared" si="143"/>
        <v>View</v>
      </c>
    </row>
    <row r="783" spans="1:21" ht="30.6">
      <c r="A783" s="6">
        <v>43439.772048611107</v>
      </c>
      <c r="B783" s="7" t="str">
        <f>HYPERLINK("https://twitter.com/periodicovzlano","@periodicovzlano")</f>
        <v>@periodicovzlano</v>
      </c>
      <c r="C783" s="8" t="s">
        <v>2671</v>
      </c>
      <c r="D783" s="9" t="s">
        <v>2672</v>
      </c>
      <c r="E783" s="10" t="str">
        <f>HYPERLINK("https://twitter.com/periodicovzlano/status/1070370152204652549","1070370152204652549")</f>
        <v>1070370152204652549</v>
      </c>
      <c r="F783" s="11" t="s">
        <v>2673</v>
      </c>
      <c r="G783" s="11" t="s">
        <v>2805</v>
      </c>
      <c r="H783" s="12"/>
      <c r="I783" s="13">
        <v>0</v>
      </c>
      <c r="J783" s="13">
        <v>1</v>
      </c>
      <c r="K783" s="14" t="str">
        <f>HYPERLINK("http://epmundo.com","Tuiteo TOP EP (1)")</f>
        <v>Tuiteo TOP EP (1)</v>
      </c>
      <c r="L783" s="13">
        <v>479694</v>
      </c>
      <c r="M783" s="13">
        <v>358804</v>
      </c>
      <c r="N783" s="13">
        <v>1295</v>
      </c>
      <c r="O783" s="15"/>
      <c r="P783" s="6">
        <v>40663.3512962963</v>
      </c>
      <c r="Q783" s="16" t="s">
        <v>861</v>
      </c>
      <c r="R783" s="17" t="s">
        <v>2675</v>
      </c>
      <c r="S783" s="11" t="s">
        <v>2676</v>
      </c>
      <c r="T783" s="12"/>
      <c r="U783" s="10" t="str">
        <f>HYPERLINK("https://pbs.twimg.com/profile_images/958328579250638849/MCz7Q8U6.jpg","View")</f>
        <v>View</v>
      </c>
    </row>
    <row r="784" spans="1:21" ht="20.399999999999999">
      <c r="A784" s="6">
        <v>43439.771736111114</v>
      </c>
      <c r="B784" s="7" t="str">
        <f>HYPERLINK("https://twitter.com/jpasalf","@jpasalf")</f>
        <v>@jpasalf</v>
      </c>
      <c r="C784" s="8" t="s">
        <v>2806</v>
      </c>
      <c r="D784" s="9" t="s">
        <v>2807</v>
      </c>
      <c r="E784" s="10" t="str">
        <f>HYPERLINK("https://twitter.com/jpasalf/status/1070370039579201536","1070370039579201536")</f>
        <v>1070370039579201536</v>
      </c>
      <c r="F784" s="11" t="s">
        <v>2808</v>
      </c>
      <c r="G784" s="12"/>
      <c r="H784" s="12"/>
      <c r="I784" s="13">
        <v>0</v>
      </c>
      <c r="J784" s="13">
        <v>0</v>
      </c>
      <c r="K784" s="14" t="str">
        <f>HYPERLINK("http://www.facebook.com/twitter","Facebook")</f>
        <v>Facebook</v>
      </c>
      <c r="L784" s="13">
        <v>1435</v>
      </c>
      <c r="M784" s="13">
        <v>2084</v>
      </c>
      <c r="N784" s="13">
        <v>14</v>
      </c>
      <c r="O784" s="15"/>
      <c r="P784" s="6">
        <v>40630.038923611108</v>
      </c>
      <c r="Q784" s="16" t="s">
        <v>2809</v>
      </c>
      <c r="R784" s="17" t="s">
        <v>2810</v>
      </c>
      <c r="S784" s="11" t="s">
        <v>2811</v>
      </c>
      <c r="T784" s="12"/>
      <c r="U784" s="10" t="str">
        <f>HYPERLINK("https://pbs.twimg.com/profile_images/502732647123402753/wTDaVBiu.jpeg","View")</f>
        <v>View</v>
      </c>
    </row>
    <row r="785" spans="1:21" ht="30.6">
      <c r="A785" s="6">
        <v>43439.768761574072</v>
      </c>
      <c r="B785" s="7" t="str">
        <f>HYPERLINK("https://twitter.com/Francis98204014","@Francis98204014")</f>
        <v>@Francis98204014</v>
      </c>
      <c r="C785" s="8" t="s">
        <v>2812</v>
      </c>
      <c r="D785" s="9" t="s">
        <v>2813</v>
      </c>
      <c r="E785" s="10" t="str">
        <f>HYPERLINK("https://twitter.com/Francis98204014/status/1070368960586100737","1070368960586100737")</f>
        <v>1070368960586100737</v>
      </c>
      <c r="F785" s="12"/>
      <c r="G785" s="11" t="s">
        <v>2814</v>
      </c>
      <c r="H785" s="12"/>
      <c r="I785" s="13">
        <v>1</v>
      </c>
      <c r="J785" s="13">
        <v>1</v>
      </c>
      <c r="K785" s="14" t="str">
        <f t="shared" ref="K785:K788" si="144">HYPERLINK("http://twitter.com/download/android","Twitter for Android")</f>
        <v>Twitter for Android</v>
      </c>
      <c r="L785" s="13">
        <v>5457</v>
      </c>
      <c r="M785" s="13">
        <v>5195</v>
      </c>
      <c r="N785" s="13">
        <v>79</v>
      </c>
      <c r="O785" s="15"/>
      <c r="P785" s="6">
        <v>42023.979328703703</v>
      </c>
      <c r="Q785" s="12"/>
      <c r="R785" s="20"/>
      <c r="S785" s="12"/>
      <c r="T785" s="12"/>
      <c r="U785" s="10" t="str">
        <f>HYPERLINK("https://pbs.twimg.com/profile_images/557305420625502208/DgZmRbYl.jpeg","View")</f>
        <v>View</v>
      </c>
    </row>
    <row r="786" spans="1:21" ht="30.6">
      <c r="A786" s="6">
        <v>43439.767650462964</v>
      </c>
      <c r="B786" s="7" t="str">
        <f>HYPERLINK("https://twitter.com/Susyragon","@Susyragon")</f>
        <v>@Susyragon</v>
      </c>
      <c r="C786" s="8" t="s">
        <v>2815</v>
      </c>
      <c r="D786" s="9" t="s">
        <v>2816</v>
      </c>
      <c r="E786" s="10" t="str">
        <f>HYPERLINK("https://twitter.com/Susyragon/status/1070368559245733888","1070368559245733888")</f>
        <v>1070368559245733888</v>
      </c>
      <c r="F786" s="12"/>
      <c r="G786" s="12"/>
      <c r="H786" s="12"/>
      <c r="I786" s="13">
        <v>0</v>
      </c>
      <c r="J786" s="13">
        <v>0</v>
      </c>
      <c r="K786" s="14" t="str">
        <f t="shared" si="144"/>
        <v>Twitter for Android</v>
      </c>
      <c r="L786" s="13">
        <v>1359</v>
      </c>
      <c r="M786" s="13">
        <v>1365</v>
      </c>
      <c r="N786" s="13">
        <v>9</v>
      </c>
      <c r="O786" s="15"/>
      <c r="P786" s="6">
        <v>41035.033402777779</v>
      </c>
      <c r="Q786" s="16" t="s">
        <v>2817</v>
      </c>
      <c r="R786" s="17" t="s">
        <v>2818</v>
      </c>
      <c r="S786" s="12"/>
      <c r="T786" s="12"/>
      <c r="U786" s="10" t="str">
        <f>HYPERLINK("https://pbs.twimg.com/profile_images/669553180540321793/ueXByzuE.jpg","View")</f>
        <v>View</v>
      </c>
    </row>
    <row r="787" spans="1:21" ht="30.6">
      <c r="A787" s="6">
        <v>43439.765740740739</v>
      </c>
      <c r="B787" s="7" t="str">
        <f>HYPERLINK("https://twitter.com/vega_fedora","@vega_fedora")</f>
        <v>@vega_fedora</v>
      </c>
      <c r="C787" s="8" t="s">
        <v>2819</v>
      </c>
      <c r="D787" s="9" t="s">
        <v>2820</v>
      </c>
      <c r="E787" s="10" t="str">
        <f>HYPERLINK("https://twitter.com/vega_fedora/status/1070367866774536193","1070367866774536193")</f>
        <v>1070367866774536193</v>
      </c>
      <c r="F787" s="12"/>
      <c r="G787" s="12"/>
      <c r="H787" s="12"/>
      <c r="I787" s="13">
        <v>0</v>
      </c>
      <c r="J787" s="13">
        <v>0</v>
      </c>
      <c r="K787" s="14" t="str">
        <f t="shared" si="144"/>
        <v>Twitter for Android</v>
      </c>
      <c r="L787" s="13">
        <v>415</v>
      </c>
      <c r="M787" s="13">
        <v>778</v>
      </c>
      <c r="N787" s="13">
        <v>2</v>
      </c>
      <c r="O787" s="15"/>
      <c r="P787" s="6">
        <v>41090.393287037034</v>
      </c>
      <c r="Q787" s="16" t="s">
        <v>2821</v>
      </c>
      <c r="R787" s="17" t="s">
        <v>2822</v>
      </c>
      <c r="S787" s="12"/>
      <c r="T787" s="12"/>
      <c r="U787" s="10" t="str">
        <f>HYPERLINK("https://pbs.twimg.com/profile_images/1029618626272407552/hx4vmF0u.jpg","View")</f>
        <v>View</v>
      </c>
    </row>
    <row r="788" spans="1:21" ht="20.399999999999999">
      <c r="A788" s="6">
        <v>43439.755578703705</v>
      </c>
      <c r="B788" s="7" t="str">
        <f>HYPERLINK("https://twitter.com/pablosuarezgar","@pablosuarezgar")</f>
        <v>@pablosuarezgar</v>
      </c>
      <c r="C788" s="8" t="s">
        <v>2823</v>
      </c>
      <c r="D788" s="9" t="s">
        <v>2824</v>
      </c>
      <c r="E788" s="10" t="str">
        <f>HYPERLINK("https://twitter.com/pablosuarezgar/status/1070364184255389696","1070364184255389696")</f>
        <v>1070364184255389696</v>
      </c>
      <c r="F788" s="11" t="s">
        <v>2825</v>
      </c>
      <c r="G788" s="12"/>
      <c r="H788" s="12"/>
      <c r="I788" s="13">
        <v>1</v>
      </c>
      <c r="J788" s="13">
        <v>1</v>
      </c>
      <c r="K788" s="14" t="str">
        <f t="shared" si="144"/>
        <v>Twitter for Android</v>
      </c>
      <c r="L788" s="13">
        <v>1716</v>
      </c>
      <c r="M788" s="13">
        <v>2430</v>
      </c>
      <c r="N788" s="13">
        <v>49</v>
      </c>
      <c r="O788" s="15"/>
      <c r="P788" s="6">
        <v>42060.73846064815</v>
      </c>
      <c r="Q788" s="12"/>
      <c r="R788" s="17" t="s">
        <v>2826</v>
      </c>
      <c r="S788" s="12"/>
      <c r="T788" s="12"/>
      <c r="U788" s="10" t="str">
        <f>HYPERLINK("https://pbs.twimg.com/profile_images/886240001893314560/QjWALAY5.jpg","View")</f>
        <v>View</v>
      </c>
    </row>
    <row r="789" spans="1:21" ht="40.799999999999997">
      <c r="A789" s="6">
        <v>43439.754050925927</v>
      </c>
      <c r="B789" s="7" t="str">
        <f>HYPERLINK("https://twitter.com/Xusticieru","@Xusticieru")</f>
        <v>@Xusticieru</v>
      </c>
      <c r="C789" s="8" t="s">
        <v>2166</v>
      </c>
      <c r="D789" s="9" t="s">
        <v>2827</v>
      </c>
      <c r="E789" s="10" t="str">
        <f>HYPERLINK("https://twitter.com/Xusticieru/status/1070363628732338182","1070363628732338182")</f>
        <v>1070363628732338182</v>
      </c>
      <c r="F789" s="11" t="s">
        <v>2825</v>
      </c>
      <c r="G789" s="12"/>
      <c r="H789" s="12"/>
      <c r="I789" s="13">
        <v>6</v>
      </c>
      <c r="J789" s="13">
        <v>5</v>
      </c>
      <c r="K789" s="14" t="str">
        <f t="shared" ref="K789:K792" si="145">HYPERLINK("http://twitter.com","Twitter Web Client")</f>
        <v>Twitter Web Client</v>
      </c>
      <c r="L789" s="13">
        <v>3619</v>
      </c>
      <c r="M789" s="13">
        <v>3320</v>
      </c>
      <c r="N789" s="13">
        <v>28</v>
      </c>
      <c r="O789" s="15"/>
      <c r="P789" s="6">
        <v>41343.738807870366</v>
      </c>
      <c r="Q789" s="16" t="s">
        <v>2168</v>
      </c>
      <c r="R789" s="17" t="s">
        <v>2169</v>
      </c>
      <c r="S789" s="12"/>
      <c r="T789" s="12"/>
      <c r="U789" s="10" t="str">
        <f>HYPERLINK("https://pbs.twimg.com/profile_images/1054286746253512705/57h4gwl2.jpg","View")</f>
        <v>View</v>
      </c>
    </row>
    <row r="790" spans="1:21" ht="40.799999999999997">
      <c r="A790" s="6">
        <v>43439.753206018519</v>
      </c>
      <c r="B790" s="7" t="str">
        <f>HYPERLINK("https://twitter.com/rameneses1","@rameneses1")</f>
        <v>@rameneses1</v>
      </c>
      <c r="C790" s="8" t="s">
        <v>2829</v>
      </c>
      <c r="D790" s="9" t="s">
        <v>2830</v>
      </c>
      <c r="E790" s="10" t="str">
        <f>HYPERLINK("https://twitter.com/rameneses1/status/1070363325282861057","1070363325282861057")</f>
        <v>1070363325282861057</v>
      </c>
      <c r="F790" s="11" t="s">
        <v>2831</v>
      </c>
      <c r="G790" s="12"/>
      <c r="H790" s="12"/>
      <c r="I790" s="13">
        <v>0</v>
      </c>
      <c r="J790" s="13">
        <v>0</v>
      </c>
      <c r="K790" s="14" t="str">
        <f t="shared" si="145"/>
        <v>Twitter Web Client</v>
      </c>
      <c r="L790" s="13">
        <v>12896</v>
      </c>
      <c r="M790" s="13">
        <v>6699</v>
      </c>
      <c r="N790" s="13">
        <v>121</v>
      </c>
      <c r="O790" s="15"/>
      <c r="P790" s="6">
        <v>40098.975057870368</v>
      </c>
      <c r="Q790" s="16" t="s">
        <v>2833</v>
      </c>
      <c r="R790" s="17" t="s">
        <v>2834</v>
      </c>
      <c r="S790" s="11" t="s">
        <v>2835</v>
      </c>
      <c r="T790" s="12"/>
      <c r="U790" s="10" t="str">
        <f>HYPERLINK("https://pbs.twimg.com/profile_images/802923435869487104/OGcqBsJT.jpg","View")</f>
        <v>View</v>
      </c>
    </row>
    <row r="791" spans="1:21" ht="20.399999999999999">
      <c r="A791" s="6">
        <v>43439.746134259258</v>
      </c>
      <c r="B791" s="7" t="str">
        <f>HYPERLINK("https://twitter.com/JimRipense59","@JimRipense59")</f>
        <v>@JimRipense59</v>
      </c>
      <c r="C791" s="8" t="s">
        <v>549</v>
      </c>
      <c r="D791" s="9" t="s">
        <v>2836</v>
      </c>
      <c r="E791" s="10" t="str">
        <f>HYPERLINK("https://twitter.com/JimRipense59/status/1070360760591691776","1070360760591691776")</f>
        <v>1070360760591691776</v>
      </c>
      <c r="F791" s="12"/>
      <c r="G791" s="11" t="s">
        <v>2837</v>
      </c>
      <c r="H791" s="12"/>
      <c r="I791" s="13">
        <v>21</v>
      </c>
      <c r="J791" s="13">
        <v>23</v>
      </c>
      <c r="K791" s="14" t="str">
        <f t="shared" si="145"/>
        <v>Twitter Web Client</v>
      </c>
      <c r="L791" s="13">
        <v>10930</v>
      </c>
      <c r="M791" s="13">
        <v>7506</v>
      </c>
      <c r="N791" s="13">
        <v>115</v>
      </c>
      <c r="O791" s="15"/>
      <c r="P791" s="6">
        <v>40865.965127314819</v>
      </c>
      <c r="Q791" s="12"/>
      <c r="R791" s="17" t="s">
        <v>550</v>
      </c>
      <c r="S791" s="11" t="s">
        <v>551</v>
      </c>
      <c r="T791" s="12"/>
      <c r="U791" s="10" t="str">
        <f>HYPERLINK("https://pbs.twimg.com/profile_images/926724227956465664/VBYXT4_A.jpg","View")</f>
        <v>View</v>
      </c>
    </row>
    <row r="792" spans="1:21" ht="40.799999999999997">
      <c r="A792" s="6">
        <v>43439.742118055554</v>
      </c>
      <c r="B792" s="7" t="str">
        <f>HYPERLINK("https://twitter.com/cruzverde_","@cruzverde_")</f>
        <v>@cruzverde_</v>
      </c>
      <c r="C792" s="8" t="s">
        <v>2839</v>
      </c>
      <c r="D792" s="9" t="s">
        <v>2840</v>
      </c>
      <c r="E792" s="10" t="str">
        <f>HYPERLINK("https://twitter.com/cruzverde_/status/1070359304207773696","1070359304207773696")</f>
        <v>1070359304207773696</v>
      </c>
      <c r="F792" s="16" t="s">
        <v>2841</v>
      </c>
      <c r="G792" s="12"/>
      <c r="H792" s="12"/>
      <c r="I792" s="13">
        <v>0</v>
      </c>
      <c r="J792" s="13">
        <v>1</v>
      </c>
      <c r="K792" s="14" t="str">
        <f t="shared" si="145"/>
        <v>Twitter Web Client</v>
      </c>
      <c r="L792" s="13">
        <v>1499</v>
      </c>
      <c r="M792" s="13">
        <v>2672</v>
      </c>
      <c r="N792" s="13">
        <v>40</v>
      </c>
      <c r="O792" s="15"/>
      <c r="P792" s="6">
        <v>40163.003703703704</v>
      </c>
      <c r="Q792" s="12"/>
      <c r="R792" s="17" t="s">
        <v>2842</v>
      </c>
      <c r="S792" s="11" t="s">
        <v>2843</v>
      </c>
      <c r="T792" s="12"/>
      <c r="U792" s="10" t="str">
        <f>HYPERLINK("https://pbs.twimg.com/profile_images/1784494170/AvatarRRSS.jpg","View")</f>
        <v>View</v>
      </c>
    </row>
    <row r="793" spans="1:21" ht="20.399999999999999">
      <c r="A793" s="6">
        <v>43439.736840277779</v>
      </c>
      <c r="B793" s="7" t="str">
        <f>HYPERLINK("https://twitter.com/EP_Mundo","@EP_Mundo")</f>
        <v>@EP_Mundo</v>
      </c>
      <c r="C793" s="8" t="s">
        <v>2762</v>
      </c>
      <c r="D793" s="9" t="s">
        <v>2718</v>
      </c>
      <c r="E793" s="10" t="str">
        <f>HYPERLINK("https://twitter.com/EP_Mundo/status/1070357391227658240","1070357391227658240")</f>
        <v>1070357391227658240</v>
      </c>
      <c r="F793" s="11" t="s">
        <v>2673</v>
      </c>
      <c r="G793" s="11" t="s">
        <v>2844</v>
      </c>
      <c r="H793" s="12"/>
      <c r="I793" s="13">
        <v>0</v>
      </c>
      <c r="J793" s="13">
        <v>0</v>
      </c>
      <c r="K793" s="14" t="str">
        <f>HYPERLINK("http://epmundo.com","Tuiteo TOP EP (2)")</f>
        <v>Tuiteo TOP EP (2)</v>
      </c>
      <c r="L793" s="13">
        <v>510219</v>
      </c>
      <c r="M793" s="13">
        <v>301867</v>
      </c>
      <c r="N793" s="13">
        <v>1363</v>
      </c>
      <c r="O793" s="15"/>
      <c r="P793" s="6">
        <v>40203.223078703704</v>
      </c>
      <c r="Q793" s="12"/>
      <c r="R793" s="17" t="s">
        <v>2764</v>
      </c>
      <c r="S793" s="11" t="s">
        <v>2765</v>
      </c>
      <c r="T793" s="12"/>
      <c r="U793" s="10" t="str">
        <f>HYPERLINK("https://pbs.twimg.com/profile_images/958329583778099200/87-xiuzB.jpg","View")</f>
        <v>View</v>
      </c>
    </row>
    <row r="794" spans="1:21" ht="40.799999999999997">
      <c r="A794" s="6">
        <v>43439.736168981486</v>
      </c>
      <c r="B794" s="7" t="str">
        <f>HYPERLINK("https://twitter.com/lextresabogados","@lextresabogados")</f>
        <v>@lextresabogados</v>
      </c>
      <c r="C794" s="8" t="s">
        <v>1379</v>
      </c>
      <c r="D794" s="9" t="s">
        <v>2845</v>
      </c>
      <c r="E794" s="10" t="str">
        <f>HYPERLINK("https://twitter.com/lextresabogados/status/1070357151711924230","1070357151711924230")</f>
        <v>1070357151711924230</v>
      </c>
      <c r="F794" s="11" t="s">
        <v>2846</v>
      </c>
      <c r="G794" s="12"/>
      <c r="H794" s="12"/>
      <c r="I794" s="13">
        <v>0</v>
      </c>
      <c r="J794" s="13">
        <v>0</v>
      </c>
      <c r="K794" s="14" t="str">
        <f>HYPERLINK("http://35.180.36.179","botize nueva")</f>
        <v>botize nueva</v>
      </c>
      <c r="L794" s="13">
        <v>2912</v>
      </c>
      <c r="M794" s="13">
        <v>3525</v>
      </c>
      <c r="N794" s="13">
        <v>26</v>
      </c>
      <c r="O794" s="15"/>
      <c r="P794" s="6">
        <v>42880.770949074074</v>
      </c>
      <c r="Q794" s="16" t="s">
        <v>1130</v>
      </c>
      <c r="R794" s="17" t="s">
        <v>1383</v>
      </c>
      <c r="S794" s="11" t="s">
        <v>1384</v>
      </c>
      <c r="T794" s="12"/>
      <c r="U794" s="10" t="str">
        <f>HYPERLINK("https://pbs.twimg.com/profile_images/1068056978679898113/YnjKwiVy.jpg","View")</f>
        <v>View</v>
      </c>
    </row>
    <row r="795" spans="1:21" ht="30.6">
      <c r="A795" s="6">
        <v>43439.73265046296</v>
      </c>
      <c r="B795" s="7" t="str">
        <f>HYPERLINK("https://twitter.com/FormulaTV","@FormulaTV")</f>
        <v>@FormulaTV</v>
      </c>
      <c r="C795" s="8" t="s">
        <v>2581</v>
      </c>
      <c r="D795" s="9" t="s">
        <v>2847</v>
      </c>
      <c r="E795" s="10" t="str">
        <f>HYPERLINK("https://twitter.com/FormulaTV/status/1070355875632701449","1070355875632701449")</f>
        <v>1070355875632701449</v>
      </c>
      <c r="F795" s="11" t="s">
        <v>2583</v>
      </c>
      <c r="G795" s="11" t="s">
        <v>2848</v>
      </c>
      <c r="H795" s="12"/>
      <c r="I795" s="13">
        <v>0</v>
      </c>
      <c r="J795" s="13">
        <v>1</v>
      </c>
      <c r="K795" s="14" t="str">
        <f>HYPERLINK("http://www.noxvo.com","Noxvo")</f>
        <v>Noxvo</v>
      </c>
      <c r="L795" s="13">
        <v>310338</v>
      </c>
      <c r="M795" s="13">
        <v>895</v>
      </c>
      <c r="N795" s="13">
        <v>2626</v>
      </c>
      <c r="O795" s="19" t="s">
        <v>44</v>
      </c>
      <c r="P795" s="6">
        <v>39778.002685185187</v>
      </c>
      <c r="Q795" s="12"/>
      <c r="R795" s="17" t="s">
        <v>2585</v>
      </c>
      <c r="S795" s="11" t="s">
        <v>2586</v>
      </c>
      <c r="T795" s="12"/>
      <c r="U795" s="10" t="str">
        <f>HYPERLINK("https://pbs.twimg.com/profile_images/1016331738665152513/n4fp9Dpz.jpg","View")</f>
        <v>View</v>
      </c>
    </row>
    <row r="796" spans="1:21" ht="40.799999999999997">
      <c r="A796" s="6">
        <v>43439.729421296295</v>
      </c>
      <c r="B796" s="7" t="str">
        <f>HYPERLINK("https://twitter.com/CincoDiascom","@CincoDiascom")</f>
        <v>@CincoDiascom</v>
      </c>
      <c r="C796" s="8" t="s">
        <v>2849</v>
      </c>
      <c r="D796" s="9" t="s">
        <v>2845</v>
      </c>
      <c r="E796" s="10" t="str">
        <f>HYPERLINK("https://twitter.com/CincoDiascom/status/1070354703219859458","1070354703219859458")</f>
        <v>1070354703219859458</v>
      </c>
      <c r="F796" s="11" t="s">
        <v>2846</v>
      </c>
      <c r="G796" s="12"/>
      <c r="H796" s="12"/>
      <c r="I796" s="13">
        <v>1</v>
      </c>
      <c r="J796" s="13">
        <v>0</v>
      </c>
      <c r="K796" s="14" t="str">
        <f>HYPERLINK("https://www.hootsuite.com","Hootsuite Inc.")</f>
        <v>Hootsuite Inc.</v>
      </c>
      <c r="L796" s="13">
        <v>335775</v>
      </c>
      <c r="M796" s="13">
        <v>538</v>
      </c>
      <c r="N796" s="13">
        <v>6750</v>
      </c>
      <c r="O796" s="19" t="s">
        <v>44</v>
      </c>
      <c r="P796" s="6">
        <v>39932.76321759259</v>
      </c>
      <c r="Q796" s="16" t="s">
        <v>191</v>
      </c>
      <c r="R796" s="17" t="s">
        <v>2850</v>
      </c>
      <c r="S796" s="11" t="s">
        <v>2851</v>
      </c>
      <c r="T796" s="12"/>
      <c r="U796" s="10" t="str">
        <f>HYPERLINK("https://pbs.twimg.com/profile_images/964439132217909248/uNfRiDub.jpg","View")</f>
        <v>View</v>
      </c>
    </row>
    <row r="797" spans="1:21" ht="20.399999999999999">
      <c r="A797" s="6">
        <v>43439.714259259257</v>
      </c>
      <c r="B797" s="7" t="str">
        <f>HYPERLINK("https://twitter.com/LAREVUELO53","@LAREVUELO53")</f>
        <v>@LAREVUELO53</v>
      </c>
      <c r="C797" s="8" t="s">
        <v>601</v>
      </c>
      <c r="D797" s="9" t="s">
        <v>2852</v>
      </c>
      <c r="E797" s="10" t="str">
        <f>HYPERLINK("https://twitter.com/LAREVUELO53/status/1070349208698408960","1070349208698408960")</f>
        <v>1070349208698408960</v>
      </c>
      <c r="F797" s="11" t="s">
        <v>2853</v>
      </c>
      <c r="G797" s="12"/>
      <c r="H797" s="12"/>
      <c r="I797" s="13">
        <v>0</v>
      </c>
      <c r="J797" s="13">
        <v>0</v>
      </c>
      <c r="K797" s="14" t="str">
        <f>HYPERLINK("http://twitter.com","Twitter Web Client")</f>
        <v>Twitter Web Client</v>
      </c>
      <c r="L797" s="13">
        <v>415</v>
      </c>
      <c r="M797" s="13">
        <v>1519</v>
      </c>
      <c r="N797" s="13">
        <v>4</v>
      </c>
      <c r="O797" s="15"/>
      <c r="P797" s="6">
        <v>40681.9059375</v>
      </c>
      <c r="Q797" s="16" t="s">
        <v>604</v>
      </c>
      <c r="R797" s="20"/>
      <c r="S797" s="11" t="s">
        <v>605</v>
      </c>
      <c r="T797" s="12"/>
      <c r="U797" s="10" t="str">
        <f>HYPERLINK("https://pbs.twimg.com/profile_images/719705597436960769/UB_JVe0J.jpg","View")</f>
        <v>View</v>
      </c>
    </row>
    <row r="798" spans="1:21" ht="40.799999999999997">
      <c r="A798" s="6">
        <v>43439.711805555555</v>
      </c>
      <c r="B798" s="7" t="str">
        <f>HYPERLINK("https://twitter.com/caval100","@caval100")</f>
        <v>@caval100</v>
      </c>
      <c r="C798" s="8" t="s">
        <v>72</v>
      </c>
      <c r="D798" s="9" t="s">
        <v>73</v>
      </c>
      <c r="E798" s="10" t="str">
        <f>HYPERLINK("https://twitter.com/caval100/status/1070348320835551232","1070348320835551232")</f>
        <v>1070348320835551232</v>
      </c>
      <c r="F798" s="11" t="s">
        <v>74</v>
      </c>
      <c r="G798" s="12"/>
      <c r="H798" s="12"/>
      <c r="I798" s="13">
        <v>0</v>
      </c>
      <c r="J798" s="13">
        <v>0</v>
      </c>
      <c r="K798" s="14" t="str">
        <f>HYPERLINK("https://about.twitter.com/products/tweetdeck","TweetDeck")</f>
        <v>TweetDeck</v>
      </c>
      <c r="L798" s="13">
        <v>119343</v>
      </c>
      <c r="M798" s="13">
        <v>94000</v>
      </c>
      <c r="N798" s="13">
        <v>982</v>
      </c>
      <c r="O798" s="15"/>
      <c r="P798" s="6">
        <v>40079.437094907407</v>
      </c>
      <c r="Q798" s="16" t="s">
        <v>75</v>
      </c>
      <c r="R798" s="17" t="s">
        <v>76</v>
      </c>
      <c r="S798" s="11" t="s">
        <v>77</v>
      </c>
      <c r="T798" s="12"/>
      <c r="U798" s="10" t="str">
        <f>HYPERLINK("https://pbs.twimg.com/profile_images/965350678301429760/uvGI7g8U.jpg","View")</f>
        <v>View</v>
      </c>
    </row>
    <row r="799" spans="1:21" ht="30.6">
      <c r="A799" s="6">
        <v>43439.698796296296</v>
      </c>
      <c r="B799" s="7" t="str">
        <f>HYPERLINK("https://twitter.com/BenderOfuscado","@BenderOfuscado")</f>
        <v>@BenderOfuscado</v>
      </c>
      <c r="C799" s="8" t="s">
        <v>2854</v>
      </c>
      <c r="D799" s="9" t="s">
        <v>2855</v>
      </c>
      <c r="E799" s="10" t="str">
        <f>HYPERLINK("https://twitter.com/BenderOfuscado/status/1070343607104741376","1070343607104741376")</f>
        <v>1070343607104741376</v>
      </c>
      <c r="F799" s="12"/>
      <c r="G799" s="12"/>
      <c r="H799" s="12"/>
      <c r="I799" s="13">
        <v>3</v>
      </c>
      <c r="J799" s="13">
        <v>9</v>
      </c>
      <c r="K799" s="14" t="str">
        <f>HYPERLINK("http://twitter.com/download/android","Twitter for Android")</f>
        <v>Twitter for Android</v>
      </c>
      <c r="L799" s="13">
        <v>399</v>
      </c>
      <c r="M799" s="13">
        <v>119</v>
      </c>
      <c r="N799" s="13">
        <v>3</v>
      </c>
      <c r="O799" s="15"/>
      <c r="P799" s="6">
        <v>43024.934791666667</v>
      </c>
      <c r="Q799" s="12"/>
      <c r="R799" s="17" t="s">
        <v>2856</v>
      </c>
      <c r="S799" s="12"/>
      <c r="T799" s="12"/>
      <c r="U799" s="10" t="str">
        <f>HYPERLINK("https://pbs.twimg.com/profile_images/1032296142674055169/HJToDVsj.jpg","View")</f>
        <v>View</v>
      </c>
    </row>
    <row r="800" spans="1:21" ht="51">
      <c r="A800" s="6">
        <v>43439.6872337963</v>
      </c>
      <c r="B800" s="7" t="str">
        <f>HYPERLINK("https://twitter.com/ricardodequerol","@ricardodequerol")</f>
        <v>@ricardodequerol</v>
      </c>
      <c r="C800" s="8" t="s">
        <v>2857</v>
      </c>
      <c r="D800" s="9" t="s">
        <v>2858</v>
      </c>
      <c r="E800" s="10" t="str">
        <f>HYPERLINK("https://twitter.com/ricardodequerol/status/1070339415350919169","1070339415350919169")</f>
        <v>1070339415350919169</v>
      </c>
      <c r="F800" s="11" t="s">
        <v>2859</v>
      </c>
      <c r="G800" s="12"/>
      <c r="H800" s="12"/>
      <c r="I800" s="13">
        <v>4</v>
      </c>
      <c r="J800" s="13">
        <v>4</v>
      </c>
      <c r="K800" s="14" t="str">
        <f t="shared" ref="K800:K801" si="146">HYPERLINK("http://twitter.com","Twitter Web Client")</f>
        <v>Twitter Web Client</v>
      </c>
      <c r="L800" s="13">
        <v>8820</v>
      </c>
      <c r="M800" s="13">
        <v>8941</v>
      </c>
      <c r="N800" s="13">
        <v>339</v>
      </c>
      <c r="O800" s="19" t="s">
        <v>44</v>
      </c>
      <c r="P800" s="6">
        <v>40477.740289351852</v>
      </c>
      <c r="Q800" s="16" t="s">
        <v>191</v>
      </c>
      <c r="R800" s="17" t="s">
        <v>2860</v>
      </c>
      <c r="S800" s="11" t="s">
        <v>2861</v>
      </c>
      <c r="T800" s="12"/>
      <c r="U800" s="10" t="str">
        <f>HYPERLINK("https://pbs.twimg.com/profile_images/891306341414916096/IVxaFPz9.jpg","View")</f>
        <v>View</v>
      </c>
    </row>
    <row r="801" spans="1:21" ht="30.6">
      <c r="A801" s="6">
        <v>43439.685937499999</v>
      </c>
      <c r="B801" s="7" t="str">
        <f>HYPERLINK("https://twitter.com/AguasNeutrales","@AguasNeutrales")</f>
        <v>@AguasNeutrales</v>
      </c>
      <c r="C801" s="8" t="s">
        <v>2862</v>
      </c>
      <c r="D801" s="9" t="s">
        <v>2863</v>
      </c>
      <c r="E801" s="10" t="str">
        <f>HYPERLINK("https://twitter.com/AguasNeutrales/status/1070338946922659840","1070338946922659840")</f>
        <v>1070338946922659840</v>
      </c>
      <c r="F801" s="11" t="s">
        <v>2864</v>
      </c>
      <c r="G801" s="11" t="s">
        <v>2865</v>
      </c>
      <c r="H801" s="12"/>
      <c r="I801" s="13">
        <v>0</v>
      </c>
      <c r="J801" s="13">
        <v>0</v>
      </c>
      <c r="K801" s="14" t="str">
        <f t="shared" si="146"/>
        <v>Twitter Web Client</v>
      </c>
      <c r="L801" s="13">
        <v>928</v>
      </c>
      <c r="M801" s="13">
        <v>1614</v>
      </c>
      <c r="N801" s="13">
        <v>7</v>
      </c>
      <c r="O801" s="15"/>
      <c r="P801" s="6">
        <v>41802.302615740744</v>
      </c>
      <c r="Q801" s="12"/>
      <c r="R801" s="17" t="s">
        <v>2866</v>
      </c>
      <c r="S801" s="12"/>
      <c r="T801" s="12"/>
      <c r="U801" s="10" t="str">
        <f>HYPERLINK("https://pbs.twimg.com/profile_images/1008462024282689536/Q3Z1dTgf.jpg","View")</f>
        <v>View</v>
      </c>
    </row>
    <row r="802" spans="1:21" ht="20.399999999999999">
      <c r="A802" s="6">
        <v>43439.681423611109</v>
      </c>
      <c r="B802" s="7" t="str">
        <f>HYPERLINK("https://twitter.com/fetoca","@fetoca")</f>
        <v>@fetoca</v>
      </c>
      <c r="C802" s="8" t="s">
        <v>2867</v>
      </c>
      <c r="D802" s="9" t="s">
        <v>2868</v>
      </c>
      <c r="E802" s="10" t="str">
        <f>HYPERLINK("https://twitter.com/fetoca/status/1070337309290057728","1070337309290057728")</f>
        <v>1070337309290057728</v>
      </c>
      <c r="F802" s="11" t="s">
        <v>2869</v>
      </c>
      <c r="G802" s="12"/>
      <c r="H802" s="12"/>
      <c r="I802" s="13">
        <v>0</v>
      </c>
      <c r="J802" s="13">
        <v>0</v>
      </c>
      <c r="K802" s="14" t="str">
        <f>HYPERLINK("https://www.google.com/","Google")</f>
        <v>Google</v>
      </c>
      <c r="L802" s="13">
        <v>74</v>
      </c>
      <c r="M802" s="13">
        <v>316</v>
      </c>
      <c r="N802" s="13">
        <v>1</v>
      </c>
      <c r="O802" s="15"/>
      <c r="P802" s="6">
        <v>40188.081886574073</v>
      </c>
      <c r="Q802" s="12"/>
      <c r="R802" s="20"/>
      <c r="S802" s="12"/>
      <c r="T802" s="12"/>
      <c r="U802" s="10" t="str">
        <f>HYPERLINK("https://pbs.twimg.com/profile_images/1851828317/35788_1205870845525_1791285772_401093_6402749_n.jpg","View")</f>
        <v>View</v>
      </c>
    </row>
    <row r="803" spans="1:21" ht="40.799999999999997">
      <c r="A803" s="6">
        <v>43439.680856481486</v>
      </c>
      <c r="B803" s="7" t="str">
        <f>HYPERLINK("https://twitter.com/AlbertoSBlanco","@AlbertoSBlanco")</f>
        <v>@AlbertoSBlanco</v>
      </c>
      <c r="C803" s="8" t="s">
        <v>2870</v>
      </c>
      <c r="D803" s="9" t="s">
        <v>2871</v>
      </c>
      <c r="E803" s="10" t="str">
        <f>HYPERLINK("https://twitter.com/AlbertoSBlanco/status/1070337105165996032","1070337105165996032")</f>
        <v>1070337105165996032</v>
      </c>
      <c r="F803" s="11" t="s">
        <v>2872</v>
      </c>
      <c r="G803" s="12"/>
      <c r="H803" s="12"/>
      <c r="I803" s="13">
        <v>0</v>
      </c>
      <c r="J803" s="13">
        <v>0</v>
      </c>
      <c r="K803" s="14" t="str">
        <f>HYPERLINK("http://twitter.com/download/android","Twitter for Android")</f>
        <v>Twitter for Android</v>
      </c>
      <c r="L803" s="13">
        <v>2667</v>
      </c>
      <c r="M803" s="13">
        <v>1400</v>
      </c>
      <c r="N803" s="13">
        <v>33</v>
      </c>
      <c r="O803" s="15"/>
      <c r="P803" s="6">
        <v>40747.720636574071</v>
      </c>
      <c r="Q803" s="12"/>
      <c r="R803" s="17" t="s">
        <v>2873</v>
      </c>
      <c r="S803" s="11" t="s">
        <v>2874</v>
      </c>
      <c r="T803" s="12"/>
      <c r="U803" s="10" t="str">
        <f>HYPERLINK("https://pbs.twimg.com/profile_images/966330983829135360/yRqQ0NN1.jpg","View")</f>
        <v>View</v>
      </c>
    </row>
    <row r="804" spans="1:21" ht="30.6">
      <c r="A804" s="6">
        <v>43439.680578703701</v>
      </c>
      <c r="B804" s="7" t="str">
        <f>HYPERLINK("https://twitter.com/jochineche","@jochineche")</f>
        <v>@jochineche</v>
      </c>
      <c r="C804" s="8" t="s">
        <v>2875</v>
      </c>
      <c r="D804" s="9" t="s">
        <v>2876</v>
      </c>
      <c r="E804" s="10" t="str">
        <f>HYPERLINK("https://twitter.com/jochineche/status/1070337006285348866","1070337006285348866")</f>
        <v>1070337006285348866</v>
      </c>
      <c r="F804" s="12"/>
      <c r="G804" s="12"/>
      <c r="H804" s="12"/>
      <c r="I804" s="13">
        <v>0</v>
      </c>
      <c r="J804" s="13">
        <v>0</v>
      </c>
      <c r="K804" s="14" t="str">
        <f>HYPERLINK("http://twitter.com","Twitter Web Client")</f>
        <v>Twitter Web Client</v>
      </c>
      <c r="L804" s="13">
        <v>50</v>
      </c>
      <c r="M804" s="13">
        <v>255</v>
      </c>
      <c r="N804" s="13">
        <v>2</v>
      </c>
      <c r="O804" s="15"/>
      <c r="P804" s="6">
        <v>42013.772696759261</v>
      </c>
      <c r="Q804" s="12"/>
      <c r="R804" s="17" t="s">
        <v>2877</v>
      </c>
      <c r="S804" s="12"/>
      <c r="T804" s="12"/>
      <c r="U804" s="10" t="str">
        <f>HYPERLINK("https://pbs.twimg.com/profile_images/950827737152966658/fXn6Mtr9.jpg","View")</f>
        <v>View</v>
      </c>
    </row>
    <row r="805" spans="1:21" ht="40.799999999999997">
      <c r="A805" s="6">
        <v>43439.677546296298</v>
      </c>
      <c r="B805" s="7" t="str">
        <f>HYPERLINK("https://twitter.com/RosaRodaNews","@RosaRodaNews")</f>
        <v>@RosaRodaNews</v>
      </c>
      <c r="C805" s="8" t="s">
        <v>2878</v>
      </c>
      <c r="D805" s="9" t="s">
        <v>2879</v>
      </c>
      <c r="E805" s="10" t="str">
        <f>HYPERLINK("https://twitter.com/RosaRodaNews/status/1070335904638734337","1070335904638734337")</f>
        <v>1070335904638734337</v>
      </c>
      <c r="F805" s="12"/>
      <c r="G805" s="12"/>
      <c r="H805" s="12"/>
      <c r="I805" s="13">
        <v>3</v>
      </c>
      <c r="J805" s="13">
        <v>2</v>
      </c>
      <c r="K805" s="14" t="str">
        <f>HYPERLINK("http://twitter.com/#!/download/ipad","Twitter for iPad")</f>
        <v>Twitter for iPad</v>
      </c>
      <c r="L805" s="13">
        <v>5723</v>
      </c>
      <c r="M805" s="13">
        <v>1623</v>
      </c>
      <c r="N805" s="13">
        <v>134</v>
      </c>
      <c r="O805" s="15"/>
      <c r="P805" s="6">
        <v>41016.436041666668</v>
      </c>
      <c r="Q805" s="16" t="s">
        <v>2880</v>
      </c>
      <c r="R805" s="17" t="s">
        <v>2881</v>
      </c>
      <c r="S805" s="12"/>
      <c r="T805" s="12"/>
      <c r="U805" s="10" t="str">
        <f>HYPERLINK("https://pbs.twimg.com/profile_images/2167319067/images.jpeg","View")</f>
        <v>View</v>
      </c>
    </row>
    <row r="806" spans="1:21" ht="20.399999999999999">
      <c r="A806" s="6">
        <v>43439.675324074073</v>
      </c>
      <c r="B806" s="7" t="str">
        <f>HYPERLINK("https://twitter.com/Cafecito_News","@Cafecito_News")</f>
        <v>@Cafecito_News</v>
      </c>
      <c r="C806" s="8" t="s">
        <v>2882</v>
      </c>
      <c r="D806" s="9" t="s">
        <v>2672</v>
      </c>
      <c r="E806" s="10" t="str">
        <f>HYPERLINK("https://twitter.com/Cafecito_News/status/1070335098657099776","1070335098657099776")</f>
        <v>1070335098657099776</v>
      </c>
      <c r="F806" s="11" t="s">
        <v>2719</v>
      </c>
      <c r="G806" s="11" t="s">
        <v>2883</v>
      </c>
      <c r="H806" s="12"/>
      <c r="I806" s="13">
        <v>0</v>
      </c>
      <c r="J806" s="13">
        <v>0</v>
      </c>
      <c r="K806" s="14" t="str">
        <f>HYPERLINK("http://epmundo.com","Tuiteo TOP EP (3)")</f>
        <v>Tuiteo TOP EP (3)</v>
      </c>
      <c r="L806" s="13">
        <v>25948</v>
      </c>
      <c r="M806" s="13">
        <v>25951</v>
      </c>
      <c r="N806" s="13">
        <v>106</v>
      </c>
      <c r="O806" s="15"/>
      <c r="P806" s="6">
        <v>42269.110787037032</v>
      </c>
      <c r="Q806" s="12"/>
      <c r="R806" s="17" t="s">
        <v>2884</v>
      </c>
      <c r="S806" s="12"/>
      <c r="T806" s="12"/>
      <c r="U806" s="10" t="str">
        <f>HYPERLINK("https://pbs.twimg.com/profile_images/913460356625960960/2wYwy3H7.jpg","View")</f>
        <v>View</v>
      </c>
    </row>
    <row r="807" spans="1:21" ht="20.399999999999999">
      <c r="A807" s="6">
        <v>43439.673321759255</v>
      </c>
      <c r="B807" s="7" t="str">
        <f>HYPERLINK("https://twitter.com/Rommel_Alarcon2","@Rommel_Alarcon2")</f>
        <v>@Rommel_Alarcon2</v>
      </c>
      <c r="C807" s="8" t="s">
        <v>2885</v>
      </c>
      <c r="D807" s="9" t="s">
        <v>2886</v>
      </c>
      <c r="E807" s="10" t="str">
        <f>HYPERLINK("https://twitter.com/Rommel_Alarcon2/status/1070334376855175168","1070334376855175168")</f>
        <v>1070334376855175168</v>
      </c>
      <c r="F807" s="11" t="s">
        <v>2869</v>
      </c>
      <c r="G807" s="12"/>
      <c r="H807" s="12"/>
      <c r="I807" s="13">
        <v>0</v>
      </c>
      <c r="J807" s="13">
        <v>0</v>
      </c>
      <c r="K807" s="14" t="str">
        <f>HYPERLINK("https://www.google.com/","Google")</f>
        <v>Google</v>
      </c>
      <c r="L807" s="13">
        <v>1524</v>
      </c>
      <c r="M807" s="13">
        <v>2380</v>
      </c>
      <c r="N807" s="13">
        <v>4</v>
      </c>
      <c r="O807" s="15"/>
      <c r="P807" s="6">
        <v>42779.779942129629</v>
      </c>
      <c r="Q807" s="12"/>
      <c r="R807" s="17" t="s">
        <v>2887</v>
      </c>
      <c r="S807" s="12"/>
      <c r="T807" s="12"/>
      <c r="U807" s="10" t="str">
        <f>HYPERLINK("https://pbs.twimg.com/profile_images/831199905825841152/vwQgtQzm.jpg","View")</f>
        <v>View</v>
      </c>
    </row>
    <row r="808" spans="1:21" ht="40.799999999999997">
      <c r="A808" s="6">
        <v>43439.672916666663</v>
      </c>
      <c r="B808" s="7" t="str">
        <f>HYPERLINK("https://twitter.com/El_Plural","@El_Plural")</f>
        <v>@El_Plural</v>
      </c>
      <c r="C808" s="8" t="s">
        <v>507</v>
      </c>
      <c r="D808" s="9" t="s">
        <v>2888</v>
      </c>
      <c r="E808" s="10" t="str">
        <f>HYPERLINK("https://twitter.com/El_Plural/status/1070334227818930176","1070334227818930176")</f>
        <v>1070334227818930176</v>
      </c>
      <c r="F808" s="11" t="s">
        <v>2525</v>
      </c>
      <c r="G808" s="12"/>
      <c r="H808" s="12"/>
      <c r="I808" s="13">
        <v>2</v>
      </c>
      <c r="J808" s="13">
        <v>1</v>
      </c>
      <c r="K808" s="14" t="str">
        <f>HYPERLINK("https://about.twitter.com/products/tweetdeck","TweetDeck")</f>
        <v>TweetDeck</v>
      </c>
      <c r="L808" s="13">
        <v>72031</v>
      </c>
      <c r="M808" s="13">
        <v>1650</v>
      </c>
      <c r="N808" s="13">
        <v>2018</v>
      </c>
      <c r="O808" s="15"/>
      <c r="P808" s="6">
        <v>40351.51053240741</v>
      </c>
      <c r="Q808" s="16" t="s">
        <v>48</v>
      </c>
      <c r="R808" s="17" t="s">
        <v>510</v>
      </c>
      <c r="S808" s="11" t="s">
        <v>511</v>
      </c>
      <c r="T808" s="12"/>
      <c r="U808" s="10" t="str">
        <f>HYPERLINK("https://pbs.twimg.com/profile_images/1017707018138857473/kUt8X2tn.jpg","View")</f>
        <v>View</v>
      </c>
    </row>
    <row r="809" spans="1:21" ht="30.6">
      <c r="A809" s="6">
        <v>43439.666585648149</v>
      </c>
      <c r="B809" s="7" t="str">
        <f>HYPERLINK("https://twitter.com/pedroLG2","@pedroLG2")</f>
        <v>@pedroLG2</v>
      </c>
      <c r="C809" s="8" t="s">
        <v>2889</v>
      </c>
      <c r="D809" s="9" t="s">
        <v>2890</v>
      </c>
      <c r="E809" s="10" t="str">
        <f>HYPERLINK("https://twitter.com/pedroLG2/status/1070331934016974848","1070331934016974848")</f>
        <v>1070331934016974848</v>
      </c>
      <c r="F809" s="12"/>
      <c r="G809" s="12"/>
      <c r="H809" s="12"/>
      <c r="I809" s="13">
        <v>0</v>
      </c>
      <c r="J809" s="13">
        <v>0</v>
      </c>
      <c r="K809" s="14" t="str">
        <f>HYPERLINK("https://mobile.twitter.com","Twitter Lite")</f>
        <v>Twitter Lite</v>
      </c>
      <c r="L809" s="13">
        <v>16</v>
      </c>
      <c r="M809" s="13">
        <v>101</v>
      </c>
      <c r="N809" s="13">
        <v>1</v>
      </c>
      <c r="O809" s="15"/>
      <c r="P809" s="6">
        <v>41032.837175925924</v>
      </c>
      <c r="Q809" s="12"/>
      <c r="R809" s="17" t="s">
        <v>2891</v>
      </c>
      <c r="S809" s="12"/>
      <c r="T809" s="12"/>
      <c r="U809" s="10" t="str">
        <f>HYPERLINK("https://pbs.twimg.com/profile_images/1049059888062713858/o9OXYFrw.jpg","View")</f>
        <v>View</v>
      </c>
    </row>
    <row r="810" spans="1:21" ht="30.6">
      <c r="A810" s="6">
        <v>43439.661504629628</v>
      </c>
      <c r="B810" s="7" t="str">
        <f>HYPERLINK("https://twitter.com/pablo_casado","@pablo_casado")</f>
        <v>@pablo_casado</v>
      </c>
      <c r="C810" s="8" t="s">
        <v>2892</v>
      </c>
      <c r="D810" s="9" t="s">
        <v>2893</v>
      </c>
      <c r="E810" s="10" t="str">
        <f>HYPERLINK("https://twitter.com/pablo_casado/status/1070330092402941953","1070330092402941953")</f>
        <v>1070330092402941953</v>
      </c>
      <c r="F810" s="11" t="s">
        <v>2894</v>
      </c>
      <c r="G810" s="12"/>
      <c r="H810" s="12"/>
      <c r="I810" s="13">
        <v>2</v>
      </c>
      <c r="J810" s="13">
        <v>3</v>
      </c>
      <c r="K810" s="14" t="str">
        <f>HYPERLINK("http://twitter.com","Twitter Web Client")</f>
        <v>Twitter Web Client</v>
      </c>
      <c r="L810" s="13">
        <v>803</v>
      </c>
      <c r="M810" s="13">
        <v>1180</v>
      </c>
      <c r="N810" s="13">
        <v>16</v>
      </c>
      <c r="O810" s="15"/>
      <c r="P810" s="6">
        <v>40631.644189814819</v>
      </c>
      <c r="Q810" s="16" t="s">
        <v>2895</v>
      </c>
      <c r="R810" s="17" t="s">
        <v>2896</v>
      </c>
      <c r="S810" s="11" t="s">
        <v>2897</v>
      </c>
      <c r="T810" s="12"/>
      <c r="U810" s="10" t="str">
        <f>HYPERLINK("https://pbs.twimg.com/profile_images/960372546393837569/o7y23nco.jpg","View")</f>
        <v>View</v>
      </c>
    </row>
    <row r="811" spans="1:21" ht="20.399999999999999">
      <c r="A811" s="6">
        <v>43439.661319444444</v>
      </c>
      <c r="B811" s="7" t="str">
        <f>HYPERLINK("https://twitter.com/EP_Mundo","@EP_Mundo")</f>
        <v>@EP_Mundo</v>
      </c>
      <c r="C811" s="8" t="s">
        <v>2762</v>
      </c>
      <c r="D811" s="9" t="s">
        <v>2718</v>
      </c>
      <c r="E811" s="10" t="str">
        <f>HYPERLINK("https://twitter.com/EP_Mundo/status/1070330027500290048","1070330027500290048")</f>
        <v>1070330027500290048</v>
      </c>
      <c r="F811" s="11" t="s">
        <v>2673</v>
      </c>
      <c r="G811" s="11" t="s">
        <v>2898</v>
      </c>
      <c r="H811" s="12"/>
      <c r="I811" s="13">
        <v>1</v>
      </c>
      <c r="J811" s="13">
        <v>1</v>
      </c>
      <c r="K811" s="14" t="str">
        <f>HYPERLINK("http://epmundo.com","Tuiteo TOP EP (2)")</f>
        <v>Tuiteo TOP EP (2)</v>
      </c>
      <c r="L811" s="13">
        <v>510219</v>
      </c>
      <c r="M811" s="13">
        <v>301867</v>
      </c>
      <c r="N811" s="13">
        <v>1363</v>
      </c>
      <c r="O811" s="15"/>
      <c r="P811" s="6">
        <v>40203.223078703704</v>
      </c>
      <c r="Q811" s="12"/>
      <c r="R811" s="17" t="s">
        <v>2764</v>
      </c>
      <c r="S811" s="11" t="s">
        <v>2765</v>
      </c>
      <c r="T811" s="12"/>
      <c r="U811" s="10" t="str">
        <f>HYPERLINK("https://pbs.twimg.com/profile_images/958329583778099200/87-xiuzB.jpg","View")</f>
        <v>View</v>
      </c>
    </row>
    <row r="812" spans="1:21" ht="40.799999999999997">
      <c r="A812" s="6">
        <v>43439.660671296297</v>
      </c>
      <c r="B812" s="7" t="str">
        <f>HYPERLINK("https://twitter.com/jorgebuja","@jorgebuja")</f>
        <v>@jorgebuja</v>
      </c>
      <c r="C812" s="8" t="s">
        <v>2899</v>
      </c>
      <c r="D812" s="9" t="s">
        <v>2900</v>
      </c>
      <c r="E812" s="10" t="str">
        <f>HYPERLINK("https://twitter.com/jorgebuja/status/1070329789976858624","1070329789976858624")</f>
        <v>1070329789976858624</v>
      </c>
      <c r="F812" s="12"/>
      <c r="G812" s="12"/>
      <c r="H812" s="12"/>
      <c r="I812" s="13">
        <v>0</v>
      </c>
      <c r="J812" s="13">
        <v>0</v>
      </c>
      <c r="K812" s="14" t="str">
        <f>HYPERLINK("http://twitter.com","Twitter Web Client")</f>
        <v>Twitter Web Client</v>
      </c>
      <c r="L812" s="13">
        <v>204</v>
      </c>
      <c r="M812" s="13">
        <v>138</v>
      </c>
      <c r="N812" s="13">
        <v>8</v>
      </c>
      <c r="O812" s="15"/>
      <c r="P812" s="6">
        <v>40734.851527777777</v>
      </c>
      <c r="Q812" s="16" t="s">
        <v>2901</v>
      </c>
      <c r="R812" s="17" t="s">
        <v>2902</v>
      </c>
      <c r="S812" s="12"/>
      <c r="T812" s="12"/>
      <c r="U812" s="10" t="str">
        <f>HYPERLINK("https://pbs.twimg.com/profile_images/801460485702959105/l1P06v5L.jpg","View")</f>
        <v>View</v>
      </c>
    </row>
    <row r="813" spans="1:21" ht="51">
      <c r="A813" s="6">
        <v>43439.660219907411</v>
      </c>
      <c r="B813" s="7" t="str">
        <f>HYPERLINK("https://twitter.com/soul_hosters","@soul_hosters")</f>
        <v>@soul_hosters</v>
      </c>
      <c r="C813" s="8" t="s">
        <v>2903</v>
      </c>
      <c r="D813" s="9" t="s">
        <v>2904</v>
      </c>
      <c r="E813" s="10" t="str">
        <f>HYPERLINK("https://twitter.com/soul_hosters/status/1070329628219400193","1070329628219400193")</f>
        <v>1070329628219400193</v>
      </c>
      <c r="F813" s="12"/>
      <c r="G813" s="12"/>
      <c r="H813" s="12"/>
      <c r="I813" s="13">
        <v>0</v>
      </c>
      <c r="J813" s="13">
        <v>0</v>
      </c>
      <c r="K813" s="14" t="str">
        <f>HYPERLINK("http://twitter.com/download/android","Twitter for Android")</f>
        <v>Twitter for Android</v>
      </c>
      <c r="L813" s="13">
        <v>338</v>
      </c>
      <c r="M813" s="13">
        <v>530</v>
      </c>
      <c r="N813" s="13">
        <v>0</v>
      </c>
      <c r="O813" s="15"/>
      <c r="P813" s="6">
        <v>41382.943599537037</v>
      </c>
      <c r="Q813" s="12"/>
      <c r="R813" s="17" t="s">
        <v>2905</v>
      </c>
      <c r="S813" s="12"/>
      <c r="T813" s="12"/>
      <c r="U813" s="10" t="str">
        <f>HYPERLINK("https://pbs.twimg.com/profile_images/1068908473021280258/VLh-dbdl.jpg","View")</f>
        <v>View</v>
      </c>
    </row>
    <row r="814" spans="1:21" ht="20.399999999999999">
      <c r="A814" s="6">
        <v>43439.649953703702</v>
      </c>
      <c r="B814" s="7" t="str">
        <f>HYPERLINK("https://twitter.com/amaliorodriguez","@amaliorodriguez")</f>
        <v>@amaliorodriguez</v>
      </c>
      <c r="C814" s="8" t="s">
        <v>2906</v>
      </c>
      <c r="D814" s="9" t="s">
        <v>2907</v>
      </c>
      <c r="E814" s="10" t="str">
        <f>HYPERLINK("https://twitter.com/amaliorodriguez/status/1070325907058032640","1070325907058032640")</f>
        <v>1070325907058032640</v>
      </c>
      <c r="F814" s="12"/>
      <c r="G814" s="12"/>
      <c r="H814" s="12"/>
      <c r="I814" s="13">
        <v>3</v>
      </c>
      <c r="J814" s="13">
        <v>5</v>
      </c>
      <c r="K814" s="14" t="str">
        <f>HYPERLINK("http://twitter.com","Twitter Web Client")</f>
        <v>Twitter Web Client</v>
      </c>
      <c r="L814" s="13">
        <v>12175</v>
      </c>
      <c r="M814" s="13">
        <v>748</v>
      </c>
      <c r="N814" s="13">
        <v>317</v>
      </c>
      <c r="O814" s="15"/>
      <c r="P814" s="6">
        <v>40038.668275462966</v>
      </c>
      <c r="Q814" s="16" t="s">
        <v>2908</v>
      </c>
      <c r="R814" s="17" t="s">
        <v>2909</v>
      </c>
      <c r="S814" s="11" t="s">
        <v>2910</v>
      </c>
      <c r="T814" s="12"/>
      <c r="U814" s="10" t="str">
        <f>HYPERLINK("https://pbs.twimg.com/profile_images/581016553375809536/sxVrIHnn.jpg","View")</f>
        <v>View</v>
      </c>
    </row>
    <row r="815" spans="1:21" ht="30.6">
      <c r="A815" s="6">
        <v>43439.639733796299</v>
      </c>
      <c r="B815" s="7" t="str">
        <f>HYPERLINK("https://twitter.com/_FernandoCruz","@_FernandoCruz")</f>
        <v>@_FernandoCruz</v>
      </c>
      <c r="C815" s="8" t="s">
        <v>2911</v>
      </c>
      <c r="D815" s="9" t="s">
        <v>2912</v>
      </c>
      <c r="E815" s="10" t="str">
        <f>HYPERLINK("https://twitter.com/_FernandoCruz/status/1070322201356849152","1070322201356849152")</f>
        <v>1070322201356849152</v>
      </c>
      <c r="F815" s="12"/>
      <c r="G815" s="11" t="s">
        <v>2913</v>
      </c>
      <c r="H815" s="12"/>
      <c r="I815" s="13">
        <v>1</v>
      </c>
      <c r="J815" s="13">
        <v>4</v>
      </c>
      <c r="K815" s="14" t="str">
        <f t="shared" ref="K815:K816" si="147">HYPERLINK("http://twitter.com/download/android","Twitter for Android")</f>
        <v>Twitter for Android</v>
      </c>
      <c r="L815" s="13">
        <v>1034</v>
      </c>
      <c r="M815" s="13">
        <v>112</v>
      </c>
      <c r="N815" s="13">
        <v>6</v>
      </c>
      <c r="O815" s="15"/>
      <c r="P815" s="6">
        <v>42461.444120370375</v>
      </c>
      <c r="Q815" s="16" t="s">
        <v>353</v>
      </c>
      <c r="R815" s="17" t="s">
        <v>2914</v>
      </c>
      <c r="S815" s="12"/>
      <c r="T815" s="12"/>
      <c r="U815" s="10" t="str">
        <f>HYPERLINK("https://pbs.twimg.com/profile_images/1035351030186352645/UzSroXcV.jpg","View")</f>
        <v>View</v>
      </c>
    </row>
    <row r="816" spans="1:21" ht="20.399999999999999">
      <c r="A816" s="6">
        <v>43439.638472222221</v>
      </c>
      <c r="B816" s="7" t="str">
        <f>HYPERLINK("https://twitter.com/MunozCaso","@MunozCaso")</f>
        <v>@MunozCaso</v>
      </c>
      <c r="C816" s="8" t="s">
        <v>2915</v>
      </c>
      <c r="D816" s="9" t="s">
        <v>2916</v>
      </c>
      <c r="E816" s="10" t="str">
        <f>HYPERLINK("https://twitter.com/MunozCaso/status/1070321747461849089","1070321747461849089")</f>
        <v>1070321747461849089</v>
      </c>
      <c r="F816" s="11" t="s">
        <v>2917</v>
      </c>
      <c r="G816" s="12"/>
      <c r="H816" s="12"/>
      <c r="I816" s="13">
        <v>0</v>
      </c>
      <c r="J816" s="13">
        <v>0</v>
      </c>
      <c r="K816" s="14" t="str">
        <f t="shared" si="147"/>
        <v>Twitter for Android</v>
      </c>
      <c r="L816" s="13">
        <v>2628</v>
      </c>
      <c r="M816" s="13">
        <v>2261</v>
      </c>
      <c r="N816" s="13">
        <v>9</v>
      </c>
      <c r="O816" s="15"/>
      <c r="P816" s="6">
        <v>42757.009999999995</v>
      </c>
      <c r="Q816" s="16" t="s">
        <v>81</v>
      </c>
      <c r="R816" s="17" t="s">
        <v>2918</v>
      </c>
      <c r="S816" s="11" t="s">
        <v>2919</v>
      </c>
      <c r="T816" s="12"/>
      <c r="U816" s="10" t="str">
        <f>HYPERLINK("https://pbs.twimg.com/profile_images/1039615834799390720/gaYflpNY.jpg","View")</f>
        <v>View</v>
      </c>
    </row>
    <row r="817" spans="1:21" ht="40.799999999999997">
      <c r="A817" s="6">
        <v>43439.638449074075</v>
      </c>
      <c r="B817" s="7" t="str">
        <f>HYPERLINK("https://twitter.com/agrnineta","@agrnineta")</f>
        <v>@agrnineta</v>
      </c>
      <c r="C817" s="8" t="s">
        <v>2920</v>
      </c>
      <c r="D817" s="9" t="s">
        <v>2921</v>
      </c>
      <c r="E817" s="10" t="str">
        <f>HYPERLINK("https://twitter.com/agrnineta/status/1070321737311625219","1070321737311625219")</f>
        <v>1070321737311625219</v>
      </c>
      <c r="F817" s="11" t="s">
        <v>2922</v>
      </c>
      <c r="G817" s="12"/>
      <c r="H817" s="12"/>
      <c r="I817" s="13">
        <v>0</v>
      </c>
      <c r="J817" s="13">
        <v>0</v>
      </c>
      <c r="K817" s="14" t="str">
        <f>HYPERLINK("http://twitter.com","Twitter Web Client")</f>
        <v>Twitter Web Client</v>
      </c>
      <c r="L817" s="13">
        <v>801</v>
      </c>
      <c r="M817" s="13">
        <v>1829</v>
      </c>
      <c r="N817" s="13">
        <v>27</v>
      </c>
      <c r="O817" s="15"/>
      <c r="P817" s="6">
        <v>40109.915231481486</v>
      </c>
      <c r="Q817" s="12"/>
      <c r="R817" s="17" t="s">
        <v>2923</v>
      </c>
      <c r="S817" s="11" t="s">
        <v>2924</v>
      </c>
      <c r="T817" s="12"/>
      <c r="U817" s="10" t="str">
        <f>HYPERLINK("https://pbs.twimg.com/profile_images/855874546439684097/VYpF_Syb.jpg","View")</f>
        <v>View</v>
      </c>
    </row>
    <row r="818" spans="1:21" ht="40.799999999999997">
      <c r="A818" s="6">
        <v>43439.636550925927</v>
      </c>
      <c r="B818" s="7" t="str">
        <f>HYPERLINK("https://twitter.com/unapedra","@unapedra")</f>
        <v>@unapedra</v>
      </c>
      <c r="C818" s="8" t="s">
        <v>2925</v>
      </c>
      <c r="D818" s="9" t="s">
        <v>2926</v>
      </c>
      <c r="E818" s="10" t="str">
        <f>HYPERLINK("https://twitter.com/unapedra/status/1070321049915547648","1070321049915547648")</f>
        <v>1070321049915547648</v>
      </c>
      <c r="F818" s="12"/>
      <c r="G818" s="11" t="s">
        <v>2927</v>
      </c>
      <c r="H818" s="12"/>
      <c r="I818" s="13">
        <v>0</v>
      </c>
      <c r="J818" s="13">
        <v>2</v>
      </c>
      <c r="K818" s="14" t="str">
        <f>HYPERLINK("http://twitter.com/download/android","Twitter for Android")</f>
        <v>Twitter for Android</v>
      </c>
      <c r="L818" s="13">
        <v>487</v>
      </c>
      <c r="M818" s="13">
        <v>798</v>
      </c>
      <c r="N818" s="13">
        <v>13</v>
      </c>
      <c r="O818" s="15"/>
      <c r="P818" s="6">
        <v>40639.946180555555</v>
      </c>
      <c r="Q818" s="16" t="s">
        <v>524</v>
      </c>
      <c r="R818" s="17" t="s">
        <v>2928</v>
      </c>
      <c r="S818" s="11" t="s">
        <v>2929</v>
      </c>
      <c r="T818" s="12"/>
      <c r="U818" s="10" t="str">
        <f>HYPERLINK("https://pbs.twimg.com/profile_images/925737546788818944/65pVAxFj.jpg","View")</f>
        <v>View</v>
      </c>
    </row>
    <row r="819" spans="1:21" ht="30.6">
      <c r="A819" s="6">
        <v>43439.616423611107</v>
      </c>
      <c r="B819" s="7" t="str">
        <f>HYPERLINK("https://twitter.com/furretillo","@furretillo")</f>
        <v>@furretillo</v>
      </c>
      <c r="C819" s="8" t="s">
        <v>1589</v>
      </c>
      <c r="D819" s="9" t="s">
        <v>2930</v>
      </c>
      <c r="E819" s="10" t="str">
        <f>HYPERLINK("https://twitter.com/furretillo/status/1070313757371523072","1070313757371523072")</f>
        <v>1070313757371523072</v>
      </c>
      <c r="F819" s="12"/>
      <c r="G819" s="12"/>
      <c r="H819" s="12"/>
      <c r="I819" s="13">
        <v>1</v>
      </c>
      <c r="J819" s="13">
        <v>0</v>
      </c>
      <c r="K819" s="14" t="str">
        <f>HYPERLINK("http://twitter.com","Twitter Web Client")</f>
        <v>Twitter Web Client</v>
      </c>
      <c r="L819" s="13">
        <v>4710</v>
      </c>
      <c r="M819" s="13">
        <v>4003</v>
      </c>
      <c r="N819" s="13">
        <v>22</v>
      </c>
      <c r="O819" s="15"/>
      <c r="P819" s="6">
        <v>41412.937569444446</v>
      </c>
      <c r="Q819" s="12"/>
      <c r="R819" s="17" t="s">
        <v>1591</v>
      </c>
      <c r="S819" s="12"/>
      <c r="T819" s="12"/>
      <c r="U819" s="10" t="str">
        <f>HYPERLINK("https://pbs.twimg.com/profile_images/3678005210/e8150c2c2b1c85957c34007aba1973d9.jpeg","View")</f>
        <v>View</v>
      </c>
    </row>
    <row r="820" spans="1:21" ht="20.399999999999999">
      <c r="A820" s="6">
        <v>43439.612141203703</v>
      </c>
      <c r="B820" s="7" t="str">
        <f t="shared" ref="B820:B821" si="148">HYPERLINK("https://twitter.com/Rommel_Alarcon2","@Rommel_Alarcon2")</f>
        <v>@Rommel_Alarcon2</v>
      </c>
      <c r="C820" s="8" t="s">
        <v>2885</v>
      </c>
      <c r="D820" s="9" t="s">
        <v>2931</v>
      </c>
      <c r="E820" s="10" t="str">
        <f>HYPERLINK("https://twitter.com/Rommel_Alarcon2/status/1070312203478278144","1070312203478278144")</f>
        <v>1070312203478278144</v>
      </c>
      <c r="F820" s="11" t="s">
        <v>2932</v>
      </c>
      <c r="G820" s="12"/>
      <c r="H820" s="12"/>
      <c r="I820" s="13">
        <v>0</v>
      </c>
      <c r="J820" s="13">
        <v>0</v>
      </c>
      <c r="K820" s="14" t="str">
        <f t="shared" ref="K820:K821" si="149">HYPERLINK("https://www.google.com/","Google")</f>
        <v>Google</v>
      </c>
      <c r="L820" s="13">
        <v>1524</v>
      </c>
      <c r="M820" s="13">
        <v>2380</v>
      </c>
      <c r="N820" s="13">
        <v>4</v>
      </c>
      <c r="O820" s="15"/>
      <c r="P820" s="6">
        <v>42779.779942129629</v>
      </c>
      <c r="Q820" s="12"/>
      <c r="R820" s="17" t="s">
        <v>2887</v>
      </c>
      <c r="S820" s="12"/>
      <c r="T820" s="12"/>
      <c r="U820" s="10" t="str">
        <f t="shared" ref="U820:U821" si="150">HYPERLINK("https://pbs.twimg.com/profile_images/831199905825841152/vwQgtQzm.jpg","View")</f>
        <v>View</v>
      </c>
    </row>
    <row r="821" spans="1:21" ht="20.399999999999999">
      <c r="A821" s="6">
        <v>43439.610636574071</v>
      </c>
      <c r="B821" s="7" t="str">
        <f t="shared" si="148"/>
        <v>@Rommel_Alarcon2</v>
      </c>
      <c r="C821" s="8" t="s">
        <v>2885</v>
      </c>
      <c r="D821" s="9" t="s">
        <v>2933</v>
      </c>
      <c r="E821" s="10" t="str">
        <f>HYPERLINK("https://twitter.com/Rommel_Alarcon2/status/1070311658290114567","1070311658290114567")</f>
        <v>1070311658290114567</v>
      </c>
      <c r="F821" s="11" t="s">
        <v>2932</v>
      </c>
      <c r="G821" s="12"/>
      <c r="H821" s="12"/>
      <c r="I821" s="13">
        <v>0</v>
      </c>
      <c r="J821" s="13">
        <v>0</v>
      </c>
      <c r="K821" s="14" t="str">
        <f t="shared" si="149"/>
        <v>Google</v>
      </c>
      <c r="L821" s="13">
        <v>1524</v>
      </c>
      <c r="M821" s="13">
        <v>2380</v>
      </c>
      <c r="N821" s="13">
        <v>4</v>
      </c>
      <c r="O821" s="15"/>
      <c r="P821" s="6">
        <v>42779.779942129629</v>
      </c>
      <c r="Q821" s="12"/>
      <c r="R821" s="17" t="s">
        <v>2887</v>
      </c>
      <c r="S821" s="12"/>
      <c r="T821" s="12"/>
      <c r="U821" s="10" t="str">
        <f t="shared" si="150"/>
        <v>View</v>
      </c>
    </row>
    <row r="822" spans="1:21" ht="30.6">
      <c r="A822" s="6">
        <v>43439.607430555552</v>
      </c>
      <c r="B822" s="7" t="str">
        <f>HYPERLINK("https://twitter.com/periodicovzlano","@periodicovzlano")</f>
        <v>@periodicovzlano</v>
      </c>
      <c r="C822" s="8" t="s">
        <v>2671</v>
      </c>
      <c r="D822" s="9" t="s">
        <v>2672</v>
      </c>
      <c r="E822" s="10" t="str">
        <f>HYPERLINK("https://twitter.com/periodicovzlano/status/1070310496518266881","1070310496518266881")</f>
        <v>1070310496518266881</v>
      </c>
      <c r="F822" s="11" t="s">
        <v>2673</v>
      </c>
      <c r="G822" s="11" t="s">
        <v>2934</v>
      </c>
      <c r="H822" s="12"/>
      <c r="I822" s="13">
        <v>0</v>
      </c>
      <c r="J822" s="13">
        <v>0</v>
      </c>
      <c r="K822" s="14" t="str">
        <f>HYPERLINK("http://epmundo.com","Tuiteo TOP EP (1)")</f>
        <v>Tuiteo TOP EP (1)</v>
      </c>
      <c r="L822" s="13">
        <v>479694</v>
      </c>
      <c r="M822" s="13">
        <v>358804</v>
      </c>
      <c r="N822" s="13">
        <v>1295</v>
      </c>
      <c r="O822" s="15"/>
      <c r="P822" s="6">
        <v>40663.3512962963</v>
      </c>
      <c r="Q822" s="16" t="s">
        <v>861</v>
      </c>
      <c r="R822" s="17" t="s">
        <v>2675</v>
      </c>
      <c r="S822" s="11" t="s">
        <v>2676</v>
      </c>
      <c r="T822" s="12"/>
      <c r="U822" s="10" t="str">
        <f>HYPERLINK("https://pbs.twimg.com/profile_images/958328579250638849/MCz7Q8U6.jpg","View")</f>
        <v>View</v>
      </c>
    </row>
    <row r="823" spans="1:21" ht="20.399999999999999">
      <c r="A823" s="6">
        <v>43439.607141203705</v>
      </c>
      <c r="B823" s="7" t="str">
        <f>HYPERLINK("https://twitter.com/lanuevaespana","@lanuevaespana")</f>
        <v>@lanuevaespana</v>
      </c>
      <c r="C823" s="8" t="s">
        <v>2935</v>
      </c>
      <c r="D823" s="9" t="s">
        <v>2936</v>
      </c>
      <c r="E823" s="10" t="str">
        <f>HYPERLINK("https://twitter.com/lanuevaespana/status/1070310393426444288","1070310393426444288")</f>
        <v>1070310393426444288</v>
      </c>
      <c r="F823" s="11" t="s">
        <v>2825</v>
      </c>
      <c r="G823" s="12"/>
      <c r="H823" s="12"/>
      <c r="I823" s="13">
        <v>2</v>
      </c>
      <c r="J823" s="13">
        <v>0</v>
      </c>
      <c r="K823" s="14" t="str">
        <f>HYPERLINK("http://twitter.com","Twitter Web Client")</f>
        <v>Twitter Web Client</v>
      </c>
      <c r="L823" s="13">
        <v>147567</v>
      </c>
      <c r="M823" s="13">
        <v>591</v>
      </c>
      <c r="N823" s="13">
        <v>1692</v>
      </c>
      <c r="O823" s="19" t="s">
        <v>44</v>
      </c>
      <c r="P823" s="6">
        <v>39877.575312499997</v>
      </c>
      <c r="Q823" s="16" t="s">
        <v>563</v>
      </c>
      <c r="R823" s="17" t="s">
        <v>2937</v>
      </c>
      <c r="S823" s="11" t="s">
        <v>2938</v>
      </c>
      <c r="T823" s="12"/>
      <c r="U823" s="10" t="str">
        <f>HYPERLINK("https://pbs.twimg.com/profile_images/1066977568388194304/2gM9vpYf.jpg","View")</f>
        <v>View</v>
      </c>
    </row>
    <row r="824" spans="1:21" ht="30.6">
      <c r="A824" s="6">
        <v>43439.605532407411</v>
      </c>
      <c r="B824" s="7" t="str">
        <f>HYPERLINK("https://twitter.com/VandalsRCD1","@VandalsRCD1")</f>
        <v>@VandalsRCD1</v>
      </c>
      <c r="C824" s="8" t="s">
        <v>2939</v>
      </c>
      <c r="D824" s="9" t="s">
        <v>2940</v>
      </c>
      <c r="E824" s="10" t="str">
        <f>HYPERLINK("https://twitter.com/VandalsRCD1/status/1070309808056745984","1070309808056745984")</f>
        <v>1070309808056745984</v>
      </c>
      <c r="F824" s="16" t="s">
        <v>2941</v>
      </c>
      <c r="G824" s="12"/>
      <c r="H824" s="12"/>
      <c r="I824" s="13">
        <v>1</v>
      </c>
      <c r="J824" s="13">
        <v>0</v>
      </c>
      <c r="K824" s="14" t="str">
        <f>HYPERLINK("http://twitter.com/download/android","Twitter for Android")</f>
        <v>Twitter for Android</v>
      </c>
      <c r="L824" s="13">
        <v>242</v>
      </c>
      <c r="M824" s="13">
        <v>182</v>
      </c>
      <c r="N824" s="13">
        <v>0</v>
      </c>
      <c r="O824" s="15"/>
      <c r="P824" s="6">
        <v>43340.942083333328</v>
      </c>
      <c r="Q824" s="12"/>
      <c r="R824" s="17" t="s">
        <v>2942</v>
      </c>
      <c r="S824" s="12"/>
      <c r="T824" s="12"/>
      <c r="U824" s="10" t="str">
        <f>HYPERLINK("https://pbs.twimg.com/profile_images/1034818117023801344/jcNB3K0z.jpg","View")</f>
        <v>View</v>
      </c>
    </row>
    <row r="825" spans="1:21" ht="30.6">
      <c r="A825" s="6">
        <v>43439.590798611112</v>
      </c>
      <c r="B825" s="7" t="str">
        <f>HYPERLINK("https://twitter.com/periodicovzlano","@periodicovzlano")</f>
        <v>@periodicovzlano</v>
      </c>
      <c r="C825" s="8" t="s">
        <v>2671</v>
      </c>
      <c r="D825" s="9" t="s">
        <v>2672</v>
      </c>
      <c r="E825" s="10" t="str">
        <f>HYPERLINK("https://twitter.com/periodicovzlano/status/1070304471480184834","1070304471480184834")</f>
        <v>1070304471480184834</v>
      </c>
      <c r="F825" s="11" t="s">
        <v>2673</v>
      </c>
      <c r="G825" s="11" t="s">
        <v>2944</v>
      </c>
      <c r="H825" s="12"/>
      <c r="I825" s="13">
        <v>0</v>
      </c>
      <c r="J825" s="13">
        <v>0</v>
      </c>
      <c r="K825" s="14" t="str">
        <f>HYPERLINK("http://epmundo.com","Tuiteo TOP EP (1)")</f>
        <v>Tuiteo TOP EP (1)</v>
      </c>
      <c r="L825" s="13">
        <v>479694</v>
      </c>
      <c r="M825" s="13">
        <v>358804</v>
      </c>
      <c r="N825" s="13">
        <v>1295</v>
      </c>
      <c r="O825" s="15"/>
      <c r="P825" s="6">
        <v>40663.3512962963</v>
      </c>
      <c r="Q825" s="16" t="s">
        <v>861</v>
      </c>
      <c r="R825" s="17" t="s">
        <v>2675</v>
      </c>
      <c r="S825" s="11" t="s">
        <v>2676</v>
      </c>
      <c r="T825" s="12"/>
      <c r="U825" s="10" t="str">
        <f>HYPERLINK("https://pbs.twimg.com/profile_images/958328579250638849/MCz7Q8U6.jpg","View")</f>
        <v>View</v>
      </c>
    </row>
    <row r="826" spans="1:21" ht="30.6">
      <c r="A826" s="6">
        <v>43439.590636574074</v>
      </c>
      <c r="B826" s="7" t="str">
        <f>HYPERLINK("https://twitter.com/rmontesu","@rmontesu")</f>
        <v>@rmontesu</v>
      </c>
      <c r="C826" s="8" t="s">
        <v>2945</v>
      </c>
      <c r="D826" s="9" t="s">
        <v>2946</v>
      </c>
      <c r="E826" s="10" t="str">
        <f>HYPERLINK("https://twitter.com/rmontesu/status/1070304409761009664","1070304409761009664")</f>
        <v>1070304409761009664</v>
      </c>
      <c r="F826" s="11" t="s">
        <v>2947</v>
      </c>
      <c r="G826" s="12"/>
      <c r="H826" s="12"/>
      <c r="I826" s="13">
        <v>0</v>
      </c>
      <c r="J826" s="13">
        <v>0</v>
      </c>
      <c r="K826" s="14" t="str">
        <f t="shared" ref="K826:K827" si="151">HYPERLINK("http://twitter.com","Twitter Web Client")</f>
        <v>Twitter Web Client</v>
      </c>
      <c r="L826" s="13">
        <v>950</v>
      </c>
      <c r="M826" s="13">
        <v>1283</v>
      </c>
      <c r="N826" s="13">
        <v>8</v>
      </c>
      <c r="O826" s="15"/>
      <c r="P826" s="6">
        <v>40658.558356481481</v>
      </c>
      <c r="Q826" s="12"/>
      <c r="R826" s="17" t="s">
        <v>2948</v>
      </c>
      <c r="S826" s="12"/>
      <c r="T826" s="12"/>
      <c r="U826" s="10" t="str">
        <f>HYPERLINK("https://pbs.twimg.com/profile_images/1324691242/Samsung_020.jpg","View")</f>
        <v>View</v>
      </c>
    </row>
    <row r="827" spans="1:21" ht="30.6">
      <c r="A827" s="6">
        <v>43439.587523148148</v>
      </c>
      <c r="B827" s="7" t="str">
        <f>HYPERLINK("https://twitter.com/ontibe","@ontibe")</f>
        <v>@ontibe</v>
      </c>
      <c r="C827" s="8" t="s">
        <v>2193</v>
      </c>
      <c r="D827" s="9" t="s">
        <v>2949</v>
      </c>
      <c r="E827" s="10" t="str">
        <f>HYPERLINK("https://twitter.com/ontibe/status/1070303282223030272","1070303282223030272")</f>
        <v>1070303282223030272</v>
      </c>
      <c r="F827" s="11" t="s">
        <v>2917</v>
      </c>
      <c r="G827" s="12"/>
      <c r="H827" s="12"/>
      <c r="I827" s="13">
        <v>0</v>
      </c>
      <c r="J827" s="13">
        <v>0</v>
      </c>
      <c r="K827" s="14" t="str">
        <f t="shared" si="151"/>
        <v>Twitter Web Client</v>
      </c>
      <c r="L827" s="13">
        <v>462</v>
      </c>
      <c r="M827" s="13">
        <v>1373</v>
      </c>
      <c r="N827" s="13">
        <v>1</v>
      </c>
      <c r="O827" s="15"/>
      <c r="P827" s="6">
        <v>40673.627766203703</v>
      </c>
      <c r="Q827" s="16" t="s">
        <v>2194</v>
      </c>
      <c r="R827" s="17" t="s">
        <v>2195</v>
      </c>
      <c r="S827" s="12"/>
      <c r="T827" s="12"/>
      <c r="U827" s="10" t="str">
        <f>HYPERLINK("https://pbs.twimg.com/profile_images/867069058037972993/9c2-Wrp7.jpg","View")</f>
        <v>View</v>
      </c>
    </row>
    <row r="828" spans="1:21" ht="40.799999999999997">
      <c r="A828" s="6">
        <v>43439.583483796298</v>
      </c>
      <c r="B828" s="7" t="str">
        <f>HYPERLINK("https://twitter.com/lextresabogados","@lextresabogados")</f>
        <v>@lextresabogados</v>
      </c>
      <c r="C828" s="8" t="s">
        <v>1379</v>
      </c>
      <c r="D828" s="9" t="s">
        <v>2950</v>
      </c>
      <c r="E828" s="10" t="str">
        <f>HYPERLINK("https://twitter.com/lextresabogados/status/1070301817337196545","1070301817337196545")</f>
        <v>1070301817337196545</v>
      </c>
      <c r="F828" s="11" t="s">
        <v>2951</v>
      </c>
      <c r="G828" s="11" t="s">
        <v>2952</v>
      </c>
      <c r="H828" s="12"/>
      <c r="I828" s="13">
        <v>0</v>
      </c>
      <c r="J828" s="13">
        <v>0</v>
      </c>
      <c r="K828" s="14" t="str">
        <f>HYPERLINK("http://35.180.36.179","botize nueva")</f>
        <v>botize nueva</v>
      </c>
      <c r="L828" s="13">
        <v>2912</v>
      </c>
      <c r="M828" s="13">
        <v>3525</v>
      </c>
      <c r="N828" s="13">
        <v>26</v>
      </c>
      <c r="O828" s="15"/>
      <c r="P828" s="6">
        <v>42880.770949074074</v>
      </c>
      <c r="Q828" s="16" t="s">
        <v>1130</v>
      </c>
      <c r="R828" s="17" t="s">
        <v>1383</v>
      </c>
      <c r="S828" s="11" t="s">
        <v>1384</v>
      </c>
      <c r="T828" s="12"/>
      <c r="U828" s="10" t="str">
        <f>HYPERLINK("https://pbs.twimg.com/profile_images/1068056978679898113/YnjKwiVy.jpg","View")</f>
        <v>View</v>
      </c>
    </row>
    <row r="829" spans="1:21" ht="40.799999999999997">
      <c r="A829" s="6">
        <v>43439.58112268518</v>
      </c>
      <c r="B829" s="7" t="str">
        <f>HYPERLINK("https://twitter.com/anselcr","@anselcr")</f>
        <v>@anselcr</v>
      </c>
      <c r="C829" s="8" t="s">
        <v>2953</v>
      </c>
      <c r="D829" s="9" t="s">
        <v>2954</v>
      </c>
      <c r="E829" s="10" t="str">
        <f>HYPERLINK("https://twitter.com/anselcr/status/1070300963284705280","1070300963284705280")</f>
        <v>1070300963284705280</v>
      </c>
      <c r="F829" s="12"/>
      <c r="G829" s="12"/>
      <c r="H829" s="12"/>
      <c r="I829" s="13">
        <v>0</v>
      </c>
      <c r="J829" s="13">
        <v>0</v>
      </c>
      <c r="K829" s="14" t="str">
        <f>HYPERLINK("https://mobile.twitter.com","Twitter Lite")</f>
        <v>Twitter Lite</v>
      </c>
      <c r="L829" s="13">
        <v>568</v>
      </c>
      <c r="M829" s="13">
        <v>99</v>
      </c>
      <c r="N829" s="13">
        <v>29</v>
      </c>
      <c r="O829" s="15"/>
      <c r="P829" s="6">
        <v>40599.941782407404</v>
      </c>
      <c r="Q829" s="12"/>
      <c r="R829" s="17" t="s">
        <v>2955</v>
      </c>
      <c r="S829" s="12"/>
      <c r="T829" s="12"/>
      <c r="U829" s="10" t="str">
        <f>HYPERLINK("https://pbs.twimg.com/profile_images/606922656957530112/KDCpX9nK.jpg","View")</f>
        <v>View</v>
      </c>
    </row>
    <row r="830" spans="1:21" ht="40.799999999999997">
      <c r="A830" s="6">
        <v>43439.562581018516</v>
      </c>
      <c r="B830" s="7" t="str">
        <f>HYPERLINK("https://twitter.com/lextresabogados","@lextresabogados")</f>
        <v>@lextresabogados</v>
      </c>
      <c r="C830" s="8" t="s">
        <v>1379</v>
      </c>
      <c r="D830" s="9" t="s">
        <v>2950</v>
      </c>
      <c r="E830" s="10" t="str">
        <f>HYPERLINK("https://twitter.com/lextresabogados/status/1070294245892866048","1070294245892866048")</f>
        <v>1070294245892866048</v>
      </c>
      <c r="F830" s="11" t="s">
        <v>2951</v>
      </c>
      <c r="G830" s="11" t="s">
        <v>2956</v>
      </c>
      <c r="H830" s="12"/>
      <c r="I830" s="13">
        <v>0</v>
      </c>
      <c r="J830" s="13">
        <v>0</v>
      </c>
      <c r="K830" s="14" t="str">
        <f>HYPERLINK("http://35.180.36.179","botize nueva")</f>
        <v>botize nueva</v>
      </c>
      <c r="L830" s="13">
        <v>2912</v>
      </c>
      <c r="M830" s="13">
        <v>3525</v>
      </c>
      <c r="N830" s="13">
        <v>26</v>
      </c>
      <c r="O830" s="15"/>
      <c r="P830" s="6">
        <v>42880.770949074074</v>
      </c>
      <c r="Q830" s="16" t="s">
        <v>1130</v>
      </c>
      <c r="R830" s="17" t="s">
        <v>1383</v>
      </c>
      <c r="S830" s="11" t="s">
        <v>1384</v>
      </c>
      <c r="T830" s="12"/>
      <c r="U830" s="10" t="str">
        <f>HYPERLINK("https://pbs.twimg.com/profile_images/1068056978679898113/YnjKwiVy.jpg","View")</f>
        <v>View</v>
      </c>
    </row>
    <row r="831" spans="1:21" ht="20.399999999999999">
      <c r="A831" s="6">
        <v>43439.556597222225</v>
      </c>
      <c r="B831" s="7" t="str">
        <f>HYPERLINK("https://twitter.com/LAREVUELO53","@LAREVUELO53")</f>
        <v>@LAREVUELO53</v>
      </c>
      <c r="C831" s="8" t="s">
        <v>601</v>
      </c>
      <c r="D831" s="9" t="s">
        <v>1354</v>
      </c>
      <c r="E831" s="10" t="str">
        <f>HYPERLINK("https://twitter.com/LAREVUELO53/status/1070292074073911296","1070292074073911296")</f>
        <v>1070292074073911296</v>
      </c>
      <c r="F831" s="11" t="s">
        <v>1355</v>
      </c>
      <c r="G831" s="12"/>
      <c r="H831" s="12"/>
      <c r="I831" s="13">
        <v>1</v>
      </c>
      <c r="J831" s="13">
        <v>1</v>
      </c>
      <c r="K831" s="14" t="str">
        <f>HYPERLINK("http://twitter.com","Twitter Web Client")</f>
        <v>Twitter Web Client</v>
      </c>
      <c r="L831" s="13">
        <v>415</v>
      </c>
      <c r="M831" s="13">
        <v>1519</v>
      </c>
      <c r="N831" s="13">
        <v>4</v>
      </c>
      <c r="O831" s="15"/>
      <c r="P831" s="6">
        <v>40681.9059375</v>
      </c>
      <c r="Q831" s="16" t="s">
        <v>604</v>
      </c>
      <c r="R831" s="20"/>
      <c r="S831" s="11" t="s">
        <v>605</v>
      </c>
      <c r="T831" s="12"/>
      <c r="U831" s="10" t="str">
        <f>HYPERLINK("https://pbs.twimg.com/profile_images/719705597436960769/UB_JVe0J.jpg","View")</f>
        <v>View</v>
      </c>
    </row>
    <row r="832" spans="1:21" ht="20.399999999999999">
      <c r="A832" s="6">
        <v>43439.543749999997</v>
      </c>
      <c r="B832" s="7" t="str">
        <f>HYPERLINK("https://twitter.com/EP_Mundo","@EP_Mundo")</f>
        <v>@EP_Mundo</v>
      </c>
      <c r="C832" s="8" t="s">
        <v>2762</v>
      </c>
      <c r="D832" s="9" t="s">
        <v>2718</v>
      </c>
      <c r="E832" s="10" t="str">
        <f>HYPERLINK("https://twitter.com/EP_Mundo/status/1070287420803952645","1070287420803952645")</f>
        <v>1070287420803952645</v>
      </c>
      <c r="F832" s="11" t="s">
        <v>2673</v>
      </c>
      <c r="G832" s="11" t="s">
        <v>2957</v>
      </c>
      <c r="H832" s="12"/>
      <c r="I832" s="13">
        <v>0</v>
      </c>
      <c r="J832" s="13">
        <v>0</v>
      </c>
      <c r="K832" s="14" t="str">
        <f>HYPERLINK("http://epmundo.com","Tuiteo TOP EP (2)")</f>
        <v>Tuiteo TOP EP (2)</v>
      </c>
      <c r="L832" s="13">
        <v>510219</v>
      </c>
      <c r="M832" s="13">
        <v>301867</v>
      </c>
      <c r="N832" s="13">
        <v>1363</v>
      </c>
      <c r="O832" s="15"/>
      <c r="P832" s="6">
        <v>40203.223078703704</v>
      </c>
      <c r="Q832" s="12"/>
      <c r="R832" s="17" t="s">
        <v>2764</v>
      </c>
      <c r="S832" s="11" t="s">
        <v>2765</v>
      </c>
      <c r="T832" s="12"/>
      <c r="U832" s="10" t="str">
        <f>HYPERLINK("https://pbs.twimg.com/profile_images/958329583778099200/87-xiuzB.jpg","View")</f>
        <v>View</v>
      </c>
    </row>
    <row r="833" spans="1:21" ht="40.799999999999997">
      <c r="A833" s="6">
        <v>43439.541921296295</v>
      </c>
      <c r="B833" s="7" t="str">
        <f>HYPERLINK("https://twitter.com/el_pais_madrid","@el_pais_madrid")</f>
        <v>@el_pais_madrid</v>
      </c>
      <c r="C833" s="8" t="s">
        <v>2958</v>
      </c>
      <c r="D833" s="9" t="s">
        <v>2959</v>
      </c>
      <c r="E833" s="10" t="str">
        <f>HYPERLINK("https://twitter.com/el_pais_madrid/status/1070286755121762305","1070286755121762305")</f>
        <v>1070286755121762305</v>
      </c>
      <c r="F833" s="11" t="s">
        <v>2960</v>
      </c>
      <c r="G833" s="12"/>
      <c r="H833" s="12"/>
      <c r="I833" s="13">
        <v>1</v>
      </c>
      <c r="J833" s="13">
        <v>0</v>
      </c>
      <c r="K833" s="14" t="str">
        <f>HYPERLINK("https://www.hootsuite.com","Hootsuite Inc.")</f>
        <v>Hootsuite Inc.</v>
      </c>
      <c r="L833" s="13">
        <v>217690</v>
      </c>
      <c r="M833" s="13">
        <v>446</v>
      </c>
      <c r="N833" s="13">
        <v>1912</v>
      </c>
      <c r="O833" s="19" t="s">
        <v>44</v>
      </c>
      <c r="P833" s="6">
        <v>39926.854953703703</v>
      </c>
      <c r="Q833" s="16" t="s">
        <v>232</v>
      </c>
      <c r="R833" s="17" t="s">
        <v>2961</v>
      </c>
      <c r="S833" s="11" t="s">
        <v>2962</v>
      </c>
      <c r="T833" s="12"/>
      <c r="U833" s="10" t="str">
        <f>HYPERLINK("https://pbs.twimg.com/profile_images/875715865160929280/Ei_etY0i.jpg","View")</f>
        <v>View</v>
      </c>
    </row>
    <row r="834" spans="1:21" ht="40.799999999999997">
      <c r="A834" s="6">
        <v>43439.540104166663</v>
      </c>
      <c r="B834" s="7" t="str">
        <f>HYPERLINK("https://twitter.com/joseleana5461","@joseleana5461")</f>
        <v>@joseleana5461</v>
      </c>
      <c r="C834" s="8" t="s">
        <v>2963</v>
      </c>
      <c r="D834" s="9" t="s">
        <v>2964</v>
      </c>
      <c r="E834" s="10" t="str">
        <f>HYPERLINK("https://twitter.com/joseleana5461/status/1070286100588101632","1070286100588101632")</f>
        <v>1070286100588101632</v>
      </c>
      <c r="F834" s="12"/>
      <c r="G834" s="12"/>
      <c r="H834" s="12"/>
      <c r="I834" s="13">
        <v>0</v>
      </c>
      <c r="J834" s="13">
        <v>1</v>
      </c>
      <c r="K834" s="14" t="str">
        <f>HYPERLINK("http://twitter.com/download/android","Twitter for Android")</f>
        <v>Twitter for Android</v>
      </c>
      <c r="L834" s="13">
        <v>69</v>
      </c>
      <c r="M834" s="13">
        <v>158</v>
      </c>
      <c r="N834" s="13">
        <v>0</v>
      </c>
      <c r="O834" s="15"/>
      <c r="P834" s="6">
        <v>42231.60157407407</v>
      </c>
      <c r="Q834" s="12"/>
      <c r="R834" s="20"/>
      <c r="S834" s="12"/>
      <c r="T834" s="12"/>
      <c r="U834" s="10" t="str">
        <f>HYPERLINK("https://pbs.twimg.com/profile_images/976638684358422533/OQOuU0i6.jpg","View")</f>
        <v>View</v>
      </c>
    </row>
    <row r="835" spans="1:21" ht="61.2">
      <c r="A835" s="6">
        <v>43439.535821759258</v>
      </c>
      <c r="B835" s="7" t="str">
        <f>HYPERLINK("https://twitter.com/france_espagne","@france_espagne")</f>
        <v>@france_espagne</v>
      </c>
      <c r="C835" s="8" t="s">
        <v>2965</v>
      </c>
      <c r="D835" s="9" t="s">
        <v>2966</v>
      </c>
      <c r="E835" s="10" t="str">
        <f>HYPERLINK("https://twitter.com/france_espagne/status/1070284547827347457","1070284547827347457")</f>
        <v>1070284547827347457</v>
      </c>
      <c r="F835" s="16" t="s">
        <v>2967</v>
      </c>
      <c r="G835" s="11" t="s">
        <v>2968</v>
      </c>
      <c r="H835" s="12"/>
      <c r="I835" s="13">
        <v>4</v>
      </c>
      <c r="J835" s="13">
        <v>9</v>
      </c>
      <c r="K835" s="14" t="str">
        <f>HYPERLINK("http://twitter.com","Twitter Web Client")</f>
        <v>Twitter Web Client</v>
      </c>
      <c r="L835" s="13">
        <v>15543</v>
      </c>
      <c r="M835" s="13">
        <v>996</v>
      </c>
      <c r="N835" s="13">
        <v>360</v>
      </c>
      <c r="O835" s="19" t="s">
        <v>44</v>
      </c>
      <c r="P835" s="6">
        <v>41569.676886574074</v>
      </c>
      <c r="Q835" s="16" t="s">
        <v>191</v>
      </c>
      <c r="R835" s="17" t="s">
        <v>2969</v>
      </c>
      <c r="S835" s="11" t="s">
        <v>2970</v>
      </c>
      <c r="T835" s="12"/>
      <c r="U835" s="10" t="str">
        <f>HYPERLINK("https://pbs.twimg.com/profile_images/1036580280860123136/lJgThOTB.jpg","View")</f>
        <v>View</v>
      </c>
    </row>
    <row r="836" spans="1:21" ht="20.399999999999999">
      <c r="A836" s="6">
        <v>43439.533414351856</v>
      </c>
      <c r="B836" s="7" t="str">
        <f>HYPERLINK("https://twitter.com/RedaccionTv","@RedaccionTv")</f>
        <v>@RedaccionTv</v>
      </c>
      <c r="C836" s="8" t="s">
        <v>2971</v>
      </c>
      <c r="D836" s="9" t="s">
        <v>2633</v>
      </c>
      <c r="E836" s="10" t="str">
        <f>HYPERLINK("https://twitter.com/RedaccionTv/status/1070283676288724992","1070283676288724992")</f>
        <v>1070283676288724992</v>
      </c>
      <c r="F836" s="11" t="s">
        <v>2972</v>
      </c>
      <c r="G836" s="12"/>
      <c r="H836" s="12"/>
      <c r="I836" s="13">
        <v>0</v>
      </c>
      <c r="J836" s="13">
        <v>0</v>
      </c>
      <c r="K836" s="14" t="str">
        <f t="shared" ref="K836:K837" si="152">HYPERLINK("https://ifttt.com","IFTTT")</f>
        <v>IFTTT</v>
      </c>
      <c r="L836" s="13">
        <v>253</v>
      </c>
      <c r="M836" s="13">
        <v>336</v>
      </c>
      <c r="N836" s="13">
        <v>16</v>
      </c>
      <c r="O836" s="15"/>
      <c r="P836" s="6">
        <v>41307.581388888888</v>
      </c>
      <c r="Q836" s="16" t="s">
        <v>1130</v>
      </c>
      <c r="R836" s="17" t="s">
        <v>2973</v>
      </c>
      <c r="S836" s="12"/>
      <c r="T836" s="12"/>
      <c r="U836" s="10" t="str">
        <f>HYPERLINK("https://pbs.twimg.com/profile_images/3197039597/dc09b81ec964b353ba69abc22bd82362.jpeg","View")</f>
        <v>View</v>
      </c>
    </row>
    <row r="837" spans="1:21" ht="20.399999999999999">
      <c r="A837" s="6">
        <v>43439.532789351855</v>
      </c>
      <c r="B837" s="7" t="str">
        <f>HYPERLINK("https://twitter.com/MamenArranz","@MamenArranz")</f>
        <v>@MamenArranz</v>
      </c>
      <c r="C837" s="8" t="s">
        <v>2974</v>
      </c>
      <c r="D837" s="9" t="s">
        <v>2633</v>
      </c>
      <c r="E837" s="10" t="str">
        <f>HYPERLINK("https://twitter.com/MamenArranz/status/1070283446109515776","1070283446109515776")</f>
        <v>1070283446109515776</v>
      </c>
      <c r="F837" s="11" t="s">
        <v>2972</v>
      </c>
      <c r="G837" s="12"/>
      <c r="H837" s="12"/>
      <c r="I837" s="13">
        <v>0</v>
      </c>
      <c r="J837" s="13">
        <v>0</v>
      </c>
      <c r="K837" s="14" t="str">
        <f t="shared" si="152"/>
        <v>IFTTT</v>
      </c>
      <c r="L837" s="13">
        <v>702</v>
      </c>
      <c r="M837" s="13">
        <v>816</v>
      </c>
      <c r="N837" s="13">
        <v>47</v>
      </c>
      <c r="O837" s="15"/>
      <c r="P837" s="6">
        <v>40791.951354166667</v>
      </c>
      <c r="Q837" s="16" t="s">
        <v>328</v>
      </c>
      <c r="R837" s="17" t="s">
        <v>2975</v>
      </c>
      <c r="S837" s="11" t="s">
        <v>2976</v>
      </c>
      <c r="T837" s="12"/>
      <c r="U837" s="10" t="str">
        <f>HYPERLINK("https://pbs.twimg.com/profile_images/1064615540227022848/L2VBsvST.jpg","View")</f>
        <v>View</v>
      </c>
    </row>
    <row r="838" spans="1:21" ht="20.399999999999999">
      <c r="A838" s="6">
        <v>43439.532638888893</v>
      </c>
      <c r="B838" s="7" t="str">
        <f>HYPERLINK("https://twitter.com/Trompeta36","@Trompeta36")</f>
        <v>@Trompeta36</v>
      </c>
      <c r="C838" s="8" t="s">
        <v>2977</v>
      </c>
      <c r="D838" s="9" t="s">
        <v>2978</v>
      </c>
      <c r="E838" s="10" t="str">
        <f>HYPERLINK("https://twitter.com/Trompeta36/status/1070283391646556161","1070283391646556161")</f>
        <v>1070283391646556161</v>
      </c>
      <c r="F838" s="11" t="s">
        <v>2979</v>
      </c>
      <c r="G838" s="12"/>
      <c r="H838" s="12"/>
      <c r="I838" s="13">
        <v>0</v>
      </c>
      <c r="J838" s="13">
        <v>0</v>
      </c>
      <c r="K838" s="14" t="str">
        <f>HYPERLINK("http://www.facebook.com/twitter","Facebook")</f>
        <v>Facebook</v>
      </c>
      <c r="L838" s="13">
        <v>2244</v>
      </c>
      <c r="M838" s="13">
        <v>2948</v>
      </c>
      <c r="N838" s="13">
        <v>21</v>
      </c>
      <c r="O838" s="15"/>
      <c r="P838" s="6">
        <v>40835.551631944443</v>
      </c>
      <c r="Q838" s="16" t="s">
        <v>2980</v>
      </c>
      <c r="R838" s="17" t="s">
        <v>2981</v>
      </c>
      <c r="S838" s="12"/>
      <c r="T838" s="12"/>
      <c r="U838" s="10" t="str">
        <f>HYPERLINK("https://pbs.twimg.com/profile_images/723132334489346048/JJaObwC9.jpg","View")</f>
        <v>View</v>
      </c>
    </row>
    <row r="839" spans="1:21" ht="30.6">
      <c r="A839" s="6">
        <v>43439.526666666672</v>
      </c>
      <c r="B839" s="7" t="str">
        <f>HYPERLINK("https://twitter.com/FormulaTV","@FormulaTV")</f>
        <v>@FormulaTV</v>
      </c>
      <c r="C839" s="8" t="s">
        <v>2581</v>
      </c>
      <c r="D839" s="9" t="s">
        <v>2982</v>
      </c>
      <c r="E839" s="10" t="str">
        <f>HYPERLINK("https://twitter.com/FormulaTV/status/1070281228014768128","1070281228014768128")</f>
        <v>1070281228014768128</v>
      </c>
      <c r="F839" s="11" t="s">
        <v>2583</v>
      </c>
      <c r="G839" s="11" t="s">
        <v>2983</v>
      </c>
      <c r="H839" s="12"/>
      <c r="I839" s="13">
        <v>0</v>
      </c>
      <c r="J839" s="13">
        <v>2</v>
      </c>
      <c r="K839" s="14" t="str">
        <f>HYPERLINK("http://www.noxvo.com","Noxvo")</f>
        <v>Noxvo</v>
      </c>
      <c r="L839" s="13">
        <v>310338</v>
      </c>
      <c r="M839" s="13">
        <v>895</v>
      </c>
      <c r="N839" s="13">
        <v>2626</v>
      </c>
      <c r="O839" s="19" t="s">
        <v>44</v>
      </c>
      <c r="P839" s="6">
        <v>39778.002685185187</v>
      </c>
      <c r="Q839" s="12"/>
      <c r="R839" s="17" t="s">
        <v>2585</v>
      </c>
      <c r="S839" s="11" t="s">
        <v>2586</v>
      </c>
      <c r="T839" s="12"/>
      <c r="U839" s="10" t="str">
        <f>HYPERLINK("https://pbs.twimg.com/profile_images/1016331738665152513/n4fp9Dpz.jpg","View")</f>
        <v>View</v>
      </c>
    </row>
    <row r="840" spans="1:21" ht="51">
      <c r="A840" s="6">
        <v>43439.525150462963</v>
      </c>
      <c r="B840" s="7" t="str">
        <f>HYPERLINK("https://twitter.com/Sevilla24H","@Sevilla24H")</f>
        <v>@Sevilla24H</v>
      </c>
      <c r="C840" s="8" t="s">
        <v>2984</v>
      </c>
      <c r="D840" s="9" t="s">
        <v>2985</v>
      </c>
      <c r="E840" s="10" t="str">
        <f>HYPERLINK("https://twitter.com/Sevilla24H/status/1070280678598680576","1070280678598680576")</f>
        <v>1070280678598680576</v>
      </c>
      <c r="F840" s="11" t="s">
        <v>2986</v>
      </c>
      <c r="G840" s="12"/>
      <c r="H840" s="12"/>
      <c r="I840" s="13">
        <v>0</v>
      </c>
      <c r="J840" s="13">
        <v>0</v>
      </c>
      <c r="K840" s="14" t="str">
        <f>HYPERLINK("https://ifttt.com","IFTTT")</f>
        <v>IFTTT</v>
      </c>
      <c r="L840" s="13">
        <v>511</v>
      </c>
      <c r="M840" s="13">
        <v>750</v>
      </c>
      <c r="N840" s="13">
        <v>11</v>
      </c>
      <c r="O840" s="15"/>
      <c r="P840" s="6">
        <v>41294.599583333329</v>
      </c>
      <c r="Q840" s="16" t="s">
        <v>1171</v>
      </c>
      <c r="R840" s="17" t="s">
        <v>2987</v>
      </c>
      <c r="S840" s="11" t="s">
        <v>2988</v>
      </c>
      <c r="T840" s="12"/>
      <c r="U840" s="10" t="str">
        <f>HYPERLINK("https://pbs.twimg.com/profile_images/833777334108975104/fgeZLBXg.jpg","View")</f>
        <v>View</v>
      </c>
    </row>
    <row r="841" spans="1:21" ht="51">
      <c r="A841" s="6">
        <v>43439.524560185186</v>
      </c>
      <c r="B841" s="7" t="str">
        <f>HYPERLINK("https://twitter.com/Monte_vier","@Monte_vier")</f>
        <v>@Monte_vier</v>
      </c>
      <c r="C841" s="8" t="s">
        <v>2989</v>
      </c>
      <c r="D841" s="9" t="s">
        <v>2990</v>
      </c>
      <c r="E841" s="10" t="str">
        <f>HYPERLINK("https://twitter.com/Monte_vier/status/1070280463674159104","1070280463674159104")</f>
        <v>1070280463674159104</v>
      </c>
      <c r="F841" s="12"/>
      <c r="G841" s="12"/>
      <c r="H841" s="12"/>
      <c r="I841" s="13">
        <v>2</v>
      </c>
      <c r="J841" s="13">
        <v>2</v>
      </c>
      <c r="K841" s="14" t="str">
        <f t="shared" ref="K841:K842" si="153">HYPERLINK("http://twitter.com","Twitter Web Client")</f>
        <v>Twitter Web Client</v>
      </c>
      <c r="L841" s="13">
        <v>711</v>
      </c>
      <c r="M841" s="13">
        <v>658</v>
      </c>
      <c r="N841" s="13">
        <v>4</v>
      </c>
      <c r="O841" s="15"/>
      <c r="P841" s="6">
        <v>41248.930150462962</v>
      </c>
      <c r="Q841" s="12"/>
      <c r="R841" s="17" t="s">
        <v>2992</v>
      </c>
      <c r="S841" s="12"/>
      <c r="T841" s="12"/>
      <c r="U841" s="10" t="str">
        <f>HYPERLINK("https://pbs.twimg.com/profile_images/824689099990769664/PFeN360C.jpg","View")</f>
        <v>View</v>
      </c>
    </row>
    <row r="842" spans="1:21" ht="30.6">
      <c r="A842" s="6">
        <v>43439.523136574076</v>
      </c>
      <c r="B842" s="7" t="str">
        <f>HYPERLINK("https://twitter.com/Axelfor","@Axelfor")</f>
        <v>@Axelfor</v>
      </c>
      <c r="C842" s="8" t="s">
        <v>2993</v>
      </c>
      <c r="D842" s="9" t="s">
        <v>2994</v>
      </c>
      <c r="E842" s="10" t="str">
        <f>HYPERLINK("https://twitter.com/Axelfor/status/1070279950396207104","1070279950396207104")</f>
        <v>1070279950396207104</v>
      </c>
      <c r="F842" s="11" t="s">
        <v>2713</v>
      </c>
      <c r="G842" s="12"/>
      <c r="H842" s="12"/>
      <c r="I842" s="13">
        <v>0</v>
      </c>
      <c r="J842" s="13">
        <v>0</v>
      </c>
      <c r="K842" s="14" t="str">
        <f t="shared" si="153"/>
        <v>Twitter Web Client</v>
      </c>
      <c r="L842" s="13">
        <v>92</v>
      </c>
      <c r="M842" s="13">
        <v>121</v>
      </c>
      <c r="N842" s="13">
        <v>6</v>
      </c>
      <c r="O842" s="15"/>
      <c r="P842" s="6">
        <v>40784.535775462966</v>
      </c>
      <c r="Q842" s="16" t="s">
        <v>328</v>
      </c>
      <c r="R842" s="20"/>
      <c r="S842" s="12"/>
      <c r="T842" s="12"/>
      <c r="U842" s="10" t="str">
        <f>HYPERLINK("https://pbs.twimg.com/profile_images/2018793480/images.jpg","View")</f>
        <v>View</v>
      </c>
    </row>
    <row r="843" spans="1:21" ht="30.6">
      <c r="A843" s="6">
        <v>43439.514317129629</v>
      </c>
      <c r="B843" s="7" t="str">
        <f>HYPERLINK("https://twitter.com/AsocForoLC","@AsocForoLC")</f>
        <v>@AsocForoLC</v>
      </c>
      <c r="C843" s="8" t="s">
        <v>2995</v>
      </c>
      <c r="D843" s="9" t="s">
        <v>2996</v>
      </c>
      <c r="E843" s="10" t="str">
        <f>HYPERLINK("https://twitter.com/AsocForoLC/status/1070276751606104071","1070276751606104071")</f>
        <v>1070276751606104071</v>
      </c>
      <c r="F843" s="11" t="s">
        <v>2997</v>
      </c>
      <c r="G843" s="12"/>
      <c r="H843" s="12"/>
      <c r="I843" s="13">
        <v>0</v>
      </c>
      <c r="J843" s="13">
        <v>0</v>
      </c>
      <c r="K843" s="14" t="str">
        <f t="shared" ref="K843:K844" si="154">HYPERLINK("http://www.facebook.com/twitter","Facebook")</f>
        <v>Facebook</v>
      </c>
      <c r="L843" s="13">
        <v>318</v>
      </c>
      <c r="M843" s="13">
        <v>540</v>
      </c>
      <c r="N843" s="13">
        <v>4</v>
      </c>
      <c r="O843" s="15"/>
      <c r="P843" s="6">
        <v>42191.571030092593</v>
      </c>
      <c r="Q843" s="16" t="s">
        <v>48</v>
      </c>
      <c r="R843" s="17" t="s">
        <v>2998</v>
      </c>
      <c r="S843" s="11" t="s">
        <v>2999</v>
      </c>
      <c r="T843" s="12"/>
      <c r="U843" s="10" t="str">
        <f>HYPERLINK("https://pbs.twimg.com/profile_images/923139336572428289/WNCTobzG.jpg","View")</f>
        <v>View</v>
      </c>
    </row>
    <row r="844" spans="1:21" ht="20.399999999999999">
      <c r="A844" s="6">
        <v>43439.514155092591</v>
      </c>
      <c r="B844" s="7" t="str">
        <f>HYPERLINK("https://twitter.com/copiajuridica","@copiajuridica")</f>
        <v>@copiajuridica</v>
      </c>
      <c r="C844" s="8" t="s">
        <v>3000</v>
      </c>
      <c r="D844" s="9" t="s">
        <v>3001</v>
      </c>
      <c r="E844" s="10" t="str">
        <f>HYPERLINK("https://twitter.com/copiajuridica/status/1070276695398191104","1070276695398191104")</f>
        <v>1070276695398191104</v>
      </c>
      <c r="F844" s="11" t="s">
        <v>3002</v>
      </c>
      <c r="G844" s="12"/>
      <c r="H844" s="12"/>
      <c r="I844" s="13">
        <v>0</v>
      </c>
      <c r="J844" s="13">
        <v>0</v>
      </c>
      <c r="K844" s="14" t="str">
        <f t="shared" si="154"/>
        <v>Facebook</v>
      </c>
      <c r="L844" s="13">
        <v>74</v>
      </c>
      <c r="M844" s="13">
        <v>272</v>
      </c>
      <c r="N844" s="13">
        <v>1</v>
      </c>
      <c r="O844" s="15"/>
      <c r="P844" s="6">
        <v>42088.346412037034</v>
      </c>
      <c r="Q844" s="12"/>
      <c r="R844" s="20"/>
      <c r="S844" s="11" t="s">
        <v>3003</v>
      </c>
      <c r="T844" s="12"/>
      <c r="U844" s="10" t="str">
        <f>HYPERLINK("https://pbs.twimg.com/profile_images/712509718355423234/-G-stV8w.jpg","View")</f>
        <v>View</v>
      </c>
    </row>
    <row r="845" spans="1:21" ht="40.799999999999997">
      <c r="A845" s="6">
        <v>43439.513958333337</v>
      </c>
      <c r="B845" s="7" t="str">
        <f>HYPERLINK("https://twitter.com/cordoba","@cordoba")</f>
        <v>@cordoba</v>
      </c>
      <c r="C845" s="8" t="s">
        <v>1748</v>
      </c>
      <c r="D845" s="9" t="s">
        <v>3004</v>
      </c>
      <c r="E845" s="10" t="str">
        <f>HYPERLINK("https://twitter.com/cordoba/status/1070276623201656833","1070276623201656833")</f>
        <v>1070276623201656833</v>
      </c>
      <c r="F845" s="11" t="s">
        <v>3005</v>
      </c>
      <c r="G845" s="12"/>
      <c r="H845" s="12"/>
      <c r="I845" s="13">
        <v>0</v>
      </c>
      <c r="J845" s="13">
        <v>0</v>
      </c>
      <c r="K845" s="14" t="str">
        <f>HYPERLINK("https://www.hootsuite.com","Hootsuite Inc.")</f>
        <v>Hootsuite Inc.</v>
      </c>
      <c r="L845" s="13">
        <v>73122</v>
      </c>
      <c r="M845" s="13">
        <v>699</v>
      </c>
      <c r="N845" s="13">
        <v>716</v>
      </c>
      <c r="O845" s="19" t="s">
        <v>44</v>
      </c>
      <c r="P845" s="6">
        <v>40839.819733796292</v>
      </c>
      <c r="Q845" s="16" t="s">
        <v>1754</v>
      </c>
      <c r="R845" s="17" t="s">
        <v>1755</v>
      </c>
      <c r="S845" s="11" t="s">
        <v>1756</v>
      </c>
      <c r="T845" s="12"/>
      <c r="U845" s="10" t="str">
        <f>HYPERLINK("https://pbs.twimg.com/profile_images/923129201661763584/FaXcJ3Xz.jpg","View")</f>
        <v>View</v>
      </c>
    </row>
    <row r="846" spans="1:21" ht="51">
      <c r="A846" s="6">
        <v>43439.513657407406</v>
      </c>
      <c r="B846" s="7" t="str">
        <f>HYPERLINK("https://twitter.com/letticia_1","@letticia_1")</f>
        <v>@letticia_1</v>
      </c>
      <c r="C846" s="8" t="s">
        <v>3006</v>
      </c>
      <c r="D846" s="9" t="s">
        <v>3007</v>
      </c>
      <c r="E846" s="10" t="str">
        <f>HYPERLINK("https://twitter.com/letticia_1/status/1070276513000493056","1070276513000493056")</f>
        <v>1070276513000493056</v>
      </c>
      <c r="F846" s="11" t="s">
        <v>3008</v>
      </c>
      <c r="G846" s="12"/>
      <c r="H846" s="12"/>
      <c r="I846" s="13">
        <v>0</v>
      </c>
      <c r="J846" s="13">
        <v>0</v>
      </c>
      <c r="K846" s="14" t="str">
        <f>HYPERLINK("http://www.facebook.com/twitter","Facebook")</f>
        <v>Facebook</v>
      </c>
      <c r="L846" s="13">
        <v>30</v>
      </c>
      <c r="M846" s="13">
        <v>5</v>
      </c>
      <c r="N846" s="13">
        <v>1</v>
      </c>
      <c r="O846" s="15"/>
      <c r="P846" s="6">
        <v>40578.806157407409</v>
      </c>
      <c r="Q846" s="16" t="s">
        <v>48</v>
      </c>
      <c r="R846" s="17" t="s">
        <v>3009</v>
      </c>
      <c r="S846" s="11" t="s">
        <v>3010</v>
      </c>
      <c r="T846" s="12"/>
      <c r="U846" s="10" t="str">
        <f>HYPERLINK("https://pbs.twimg.com/profile_images/3193796113/fcad1f06ab2081c89a3fcffa8aeb67d2.jpeg","View")</f>
        <v>View</v>
      </c>
    </row>
    <row r="847" spans="1:21" ht="51">
      <c r="A847" s="6">
        <v>43439.510289351849</v>
      </c>
      <c r="B847" s="7" t="str">
        <f>HYPERLINK("https://twitter.com/PilarHLuc","@PilarHLuc")</f>
        <v>@PilarHLuc</v>
      </c>
      <c r="C847" s="8" t="s">
        <v>1223</v>
      </c>
      <c r="D847" s="9" t="s">
        <v>3011</v>
      </c>
      <c r="E847" s="10" t="str">
        <f>HYPERLINK("https://twitter.com/PilarHLuc/status/1070275296081920000","1070275296081920000")</f>
        <v>1070275296081920000</v>
      </c>
      <c r="F847" s="12"/>
      <c r="G847" s="11" t="s">
        <v>3012</v>
      </c>
      <c r="H847" s="12"/>
      <c r="I847" s="13">
        <v>40</v>
      </c>
      <c r="J847" s="13">
        <v>36</v>
      </c>
      <c r="K847" s="14" t="str">
        <f>HYPERLINK("http://twitter.com/download/iphone","Twitter for iPhone")</f>
        <v>Twitter for iPhone</v>
      </c>
      <c r="L847" s="13">
        <v>18664</v>
      </c>
      <c r="M847" s="13">
        <v>2485</v>
      </c>
      <c r="N847" s="13">
        <v>192</v>
      </c>
      <c r="O847" s="15"/>
      <c r="P847" s="6">
        <v>40717.584317129629</v>
      </c>
      <c r="Q847" s="12"/>
      <c r="R847" s="17" t="s">
        <v>1226</v>
      </c>
      <c r="S847" s="12"/>
      <c r="T847" s="12"/>
      <c r="U847" s="10" t="str">
        <f>HYPERLINK("https://pbs.twimg.com/profile_images/1005542787985690624/Hpi3Huaq.jpg","View")</f>
        <v>View</v>
      </c>
    </row>
    <row r="848" spans="1:21" ht="102">
      <c r="A848" s="6">
        <v>43439.510185185187</v>
      </c>
      <c r="B848" s="7" t="str">
        <f>HYPERLINK("https://twitter.com/Ninaventresca","@Ninaventresca")</f>
        <v>@Ninaventresca</v>
      </c>
      <c r="C848" s="8" t="s">
        <v>3013</v>
      </c>
      <c r="D848" s="9" t="s">
        <v>3014</v>
      </c>
      <c r="E848" s="10" t="str">
        <f>HYPERLINK("https://twitter.com/Ninaventresca/status/1070275257985048577","1070275257985048577")</f>
        <v>1070275257985048577</v>
      </c>
      <c r="F848" s="11" t="s">
        <v>3015</v>
      </c>
      <c r="G848" s="11" t="s">
        <v>3016</v>
      </c>
      <c r="H848" s="12"/>
      <c r="I848" s="13">
        <v>14</v>
      </c>
      <c r="J848" s="13">
        <v>31</v>
      </c>
      <c r="K848" s="14" t="str">
        <f>HYPERLINK("http://twitter.com/download/android","Twitter for Android")</f>
        <v>Twitter for Android</v>
      </c>
      <c r="L848" s="13">
        <v>4100</v>
      </c>
      <c r="M848" s="13">
        <v>3579</v>
      </c>
      <c r="N848" s="13">
        <v>114</v>
      </c>
      <c r="O848" s="15"/>
      <c r="P848" s="6">
        <v>40186.932314814811</v>
      </c>
      <c r="Q848" s="12"/>
      <c r="R848" s="17" t="s">
        <v>3017</v>
      </c>
      <c r="S848" s="11" t="s">
        <v>3018</v>
      </c>
      <c r="T848" s="12"/>
      <c r="U848" s="10" t="str">
        <f>HYPERLINK("https://pbs.twimg.com/profile_images/678883456093429760/TA3ffi3f.jpg","View")</f>
        <v>View</v>
      </c>
    </row>
    <row r="849" spans="1:21" ht="40.799999999999997">
      <c r="A849" s="6">
        <v>43439.507534722223</v>
      </c>
      <c r="B849" s="7" t="str">
        <f>HYPERLINK("https://twitter.com/KODiario666","@KODiario666")</f>
        <v>@KODiario666</v>
      </c>
      <c r="C849" s="8" t="s">
        <v>3019</v>
      </c>
      <c r="D849" s="9" t="s">
        <v>3020</v>
      </c>
      <c r="E849" s="10" t="str">
        <f>HYPERLINK("https://twitter.com/KODiario666/status/1070274293991424001","1070274293991424001")</f>
        <v>1070274293991424001</v>
      </c>
      <c r="F849" s="12"/>
      <c r="G849" s="12"/>
      <c r="H849" s="12"/>
      <c r="I849" s="13">
        <v>5</v>
      </c>
      <c r="J849" s="13">
        <v>8</v>
      </c>
      <c r="K849" s="14" t="str">
        <f>HYPERLINK("http://twitter.com/download/iphone","Twitter for iPhone")</f>
        <v>Twitter for iPhone</v>
      </c>
      <c r="L849" s="13">
        <v>768</v>
      </c>
      <c r="M849" s="13">
        <v>227</v>
      </c>
      <c r="N849" s="13">
        <v>8</v>
      </c>
      <c r="O849" s="15"/>
      <c r="P849" s="6">
        <v>42944.40697916667</v>
      </c>
      <c r="Q849" s="16" t="s">
        <v>3022</v>
      </c>
      <c r="R849" s="17" t="s">
        <v>3023</v>
      </c>
      <c r="S849" s="11" t="s">
        <v>3024</v>
      </c>
      <c r="T849" s="12"/>
      <c r="U849" s="10" t="str">
        <f>HYPERLINK("https://pbs.twimg.com/profile_images/1019138233127653376/68gnC4na.jpg","View")</f>
        <v>View</v>
      </c>
    </row>
    <row r="850" spans="1:21" ht="30.6">
      <c r="A850" s="6">
        <v>43439.504062499997</v>
      </c>
      <c r="B850" s="7" t="str">
        <f>HYPERLINK("https://twitter.com/FuensantaLM","@FuensantaLM")</f>
        <v>@FuensantaLM</v>
      </c>
      <c r="C850" s="8" t="s">
        <v>3025</v>
      </c>
      <c r="D850" s="9" t="s">
        <v>3026</v>
      </c>
      <c r="E850" s="10" t="str">
        <f>HYPERLINK("https://twitter.com/FuensantaLM/status/1070273035717017601","1070273035717017601")</f>
        <v>1070273035717017601</v>
      </c>
      <c r="F850" s="11" t="s">
        <v>3027</v>
      </c>
      <c r="G850" s="11" t="s">
        <v>3028</v>
      </c>
      <c r="H850" s="12"/>
      <c r="I850" s="13">
        <v>0</v>
      </c>
      <c r="J850" s="13">
        <v>3</v>
      </c>
      <c r="K850" s="14" t="str">
        <f>HYPERLINK("http://www.cosasdeunabailarina.es","Bailarina Auto Twitter")</f>
        <v>Bailarina Auto Twitter</v>
      </c>
      <c r="L850" s="13">
        <v>14631</v>
      </c>
      <c r="M850" s="13">
        <v>14466</v>
      </c>
      <c r="N850" s="13">
        <v>191</v>
      </c>
      <c r="O850" s="15"/>
      <c r="P850" s="6">
        <v>41068.571076388893</v>
      </c>
      <c r="Q850" s="16" t="s">
        <v>48</v>
      </c>
      <c r="R850" s="17" t="s">
        <v>3029</v>
      </c>
      <c r="S850" s="11" t="s">
        <v>3030</v>
      </c>
      <c r="T850" s="12"/>
      <c r="U850" s="10" t="str">
        <f>HYPERLINK("https://pbs.twimg.com/profile_images/984828025639526400/FWEVAQrE.jpg","View")</f>
        <v>View</v>
      </c>
    </row>
    <row r="851" spans="1:21" ht="40.799999999999997">
      <c r="A851" s="6">
        <v>43439.50309027778</v>
      </c>
      <c r="B851" s="7" t="str">
        <f>HYPERLINK("https://twitter.com/agloro80","@agloro80")</f>
        <v>@agloro80</v>
      </c>
      <c r="C851" s="8" t="s">
        <v>3031</v>
      </c>
      <c r="D851" s="9" t="s">
        <v>3032</v>
      </c>
      <c r="E851" s="10" t="str">
        <f>HYPERLINK("https://twitter.com/agloro80/status/1070272685660364802","1070272685660364802")</f>
        <v>1070272685660364802</v>
      </c>
      <c r="F851" s="12"/>
      <c r="G851" s="11" t="s">
        <v>3033</v>
      </c>
      <c r="H851" s="12"/>
      <c r="I851" s="13">
        <v>0</v>
      </c>
      <c r="J851" s="13">
        <v>0</v>
      </c>
      <c r="K851" s="14" t="str">
        <f>HYPERLINK("http://twitter.com","Twitter Web Client")</f>
        <v>Twitter Web Client</v>
      </c>
      <c r="L851" s="13">
        <v>202</v>
      </c>
      <c r="M851" s="13">
        <v>614</v>
      </c>
      <c r="N851" s="13">
        <v>19</v>
      </c>
      <c r="O851" s="15"/>
      <c r="P851" s="6">
        <v>42461.738449074073</v>
      </c>
      <c r="Q851" s="12"/>
      <c r="R851" s="17" t="s">
        <v>3034</v>
      </c>
      <c r="S851" s="12"/>
      <c r="T851" s="12"/>
      <c r="U851" s="10" t="str">
        <f>HYPERLINK("https://pbs.twimg.com/profile_images/715933019622805508/-Wi7LOL9.jpg","View")</f>
        <v>View</v>
      </c>
    </row>
    <row r="852" spans="1:21" ht="30.6">
      <c r="A852" s="6">
        <v>43439.500497685185</v>
      </c>
      <c r="B852" s="7" t="str">
        <f>HYPERLINK("https://twitter.com/ferbovi","@ferbovi")</f>
        <v>@ferbovi</v>
      </c>
      <c r="C852" s="8" t="s">
        <v>3035</v>
      </c>
      <c r="D852" s="9" t="s">
        <v>3036</v>
      </c>
      <c r="E852" s="10" t="str">
        <f>HYPERLINK("https://twitter.com/ferbovi/status/1070271744102072321","1070271744102072321")</f>
        <v>1070271744102072321</v>
      </c>
      <c r="F852" s="11" t="s">
        <v>3037</v>
      </c>
      <c r="G852" s="12"/>
      <c r="H852" s="12"/>
      <c r="I852" s="13">
        <v>3</v>
      </c>
      <c r="J852" s="13">
        <v>1</v>
      </c>
      <c r="K852" s="14" t="str">
        <f>HYPERLINK("https://buffer.com","Buffer")</f>
        <v>Buffer</v>
      </c>
      <c r="L852" s="13">
        <v>2063</v>
      </c>
      <c r="M852" s="13">
        <v>998</v>
      </c>
      <c r="N852" s="13">
        <v>39</v>
      </c>
      <c r="O852" s="15"/>
      <c r="P852" s="6">
        <v>41251.990937499999</v>
      </c>
      <c r="Q852" s="16" t="s">
        <v>191</v>
      </c>
      <c r="R852" s="17" t="s">
        <v>3038</v>
      </c>
      <c r="S852" s="11" t="s">
        <v>2897</v>
      </c>
      <c r="T852" s="12"/>
      <c r="U852" s="10" t="str">
        <f>HYPERLINK("https://pbs.twimg.com/profile_images/901623723509338113/56bDGTA5.jpg","View")</f>
        <v>View</v>
      </c>
    </row>
    <row r="853" spans="1:21" ht="61.2">
      <c r="A853" s="6">
        <v>43439.494120370371</v>
      </c>
      <c r="B853" s="7" t="str">
        <f>HYPERLINK("https://twitter.com/gobhenico","@gobhenico")</f>
        <v>@gobhenico</v>
      </c>
      <c r="C853" s="8" t="s">
        <v>3040</v>
      </c>
      <c r="D853" s="9" t="s">
        <v>3041</v>
      </c>
      <c r="E853" s="10" t="str">
        <f>HYPERLINK("https://twitter.com/gobhenico/status/1070269434978291712","1070269434978291712")</f>
        <v>1070269434978291712</v>
      </c>
      <c r="F853" s="11" t="s">
        <v>3042</v>
      </c>
      <c r="G853" s="11" t="s">
        <v>3043</v>
      </c>
      <c r="H853" s="12"/>
      <c r="I853" s="13">
        <v>0</v>
      </c>
      <c r="J853" s="13">
        <v>1</v>
      </c>
      <c r="K853" s="14" t="str">
        <f>HYPERLINK("https://mobile.twitter.com","Twitter Lite")</f>
        <v>Twitter Lite</v>
      </c>
      <c r="L853" s="13">
        <v>64</v>
      </c>
      <c r="M853" s="13">
        <v>246</v>
      </c>
      <c r="N853" s="13">
        <v>1</v>
      </c>
      <c r="O853" s="15"/>
      <c r="P853" s="6">
        <v>42225.049375000002</v>
      </c>
      <c r="Q853" s="12"/>
      <c r="R853" s="20"/>
      <c r="S853" s="12"/>
      <c r="T853" s="12"/>
      <c r="U853" s="10" t="str">
        <f>HYPERLINK("https://pbs.twimg.com/profile_images/698909582056357888/Y5s4HGag.jpg","View")</f>
        <v>View</v>
      </c>
    </row>
    <row r="854" spans="1:21" ht="51">
      <c r="A854" s="6">
        <v>43439.493321759262</v>
      </c>
      <c r="B854" s="7" t="str">
        <f>HYPERLINK("https://twitter.com/brubeaker","@brubeaker")</f>
        <v>@brubeaker</v>
      </c>
      <c r="C854" s="8" t="s">
        <v>1205</v>
      </c>
      <c r="D854" s="9" t="s">
        <v>3044</v>
      </c>
      <c r="E854" s="10" t="str">
        <f>HYPERLINK("https://twitter.com/brubeaker/status/1070269145726492672","1070269145726492672")</f>
        <v>1070269145726492672</v>
      </c>
      <c r="F854" s="12"/>
      <c r="G854" s="12"/>
      <c r="H854" s="12"/>
      <c r="I854" s="13">
        <v>0</v>
      </c>
      <c r="J854" s="13">
        <v>0</v>
      </c>
      <c r="K854" s="14" t="str">
        <f>HYPERLINK("http://twitter.com","Twitter Web Client")</f>
        <v>Twitter Web Client</v>
      </c>
      <c r="L854" s="13">
        <v>38</v>
      </c>
      <c r="M854" s="13">
        <v>164</v>
      </c>
      <c r="N854" s="13">
        <v>2</v>
      </c>
      <c r="O854" s="15"/>
      <c r="P854" s="6">
        <v>41780.336550925924</v>
      </c>
      <c r="Q854" s="12"/>
      <c r="R854" s="17" t="s">
        <v>1207</v>
      </c>
      <c r="S854" s="12"/>
      <c r="T854" s="12"/>
      <c r="U854" s="10" t="str">
        <f>HYPERLINK("https://pbs.twimg.com/profile_images/1036025081179332608/VWYH9QdS.jpg","View")</f>
        <v>View</v>
      </c>
    </row>
    <row r="855" spans="1:21" ht="20.399999999999999">
      <c r="A855" s="6">
        <v>43439.492754629631</v>
      </c>
      <c r="B855" s="7" t="str">
        <f>HYPERLINK("https://twitter.com/EP_Mundo","@EP_Mundo")</f>
        <v>@EP_Mundo</v>
      </c>
      <c r="C855" s="8" t="s">
        <v>2762</v>
      </c>
      <c r="D855" s="9" t="s">
        <v>2718</v>
      </c>
      <c r="E855" s="10" t="str">
        <f>HYPERLINK("https://twitter.com/EP_Mundo/status/1070268940583137280","1070268940583137280")</f>
        <v>1070268940583137280</v>
      </c>
      <c r="F855" s="11" t="s">
        <v>2673</v>
      </c>
      <c r="G855" s="11" t="s">
        <v>3046</v>
      </c>
      <c r="H855" s="12"/>
      <c r="I855" s="13">
        <v>0</v>
      </c>
      <c r="J855" s="13">
        <v>0</v>
      </c>
      <c r="K855" s="14" t="str">
        <f>HYPERLINK("http://epmundo.com","Tuiteo TOP EP (2)")</f>
        <v>Tuiteo TOP EP (2)</v>
      </c>
      <c r="L855" s="13">
        <v>510219</v>
      </c>
      <c r="M855" s="13">
        <v>301867</v>
      </c>
      <c r="N855" s="13">
        <v>1363</v>
      </c>
      <c r="O855" s="15"/>
      <c r="P855" s="6">
        <v>40203.223078703704</v>
      </c>
      <c r="Q855" s="12"/>
      <c r="R855" s="17" t="s">
        <v>2764</v>
      </c>
      <c r="S855" s="11" t="s">
        <v>2765</v>
      </c>
      <c r="T855" s="12"/>
      <c r="U855" s="10" t="str">
        <f>HYPERLINK("https://pbs.twimg.com/profile_images/958329583778099200/87-xiuzB.jpg","View")</f>
        <v>View</v>
      </c>
    </row>
    <row r="856" spans="1:21" ht="51">
      <c r="A856" s="6">
        <v>43439.490972222222</v>
      </c>
      <c r="B856" s="7" t="str">
        <f>HYPERLINK("https://twitter.com/lopezbarrancoj4","@lopezbarrancoj4")</f>
        <v>@lopezbarrancoj4</v>
      </c>
      <c r="C856" s="8" t="s">
        <v>3047</v>
      </c>
      <c r="D856" s="9" t="s">
        <v>3048</v>
      </c>
      <c r="E856" s="10" t="str">
        <f>HYPERLINK("https://twitter.com/lopezbarrancoj4/status/1070268293280395265","1070268293280395265")</f>
        <v>1070268293280395265</v>
      </c>
      <c r="F856" s="12"/>
      <c r="G856" s="12"/>
      <c r="H856" s="12"/>
      <c r="I856" s="13">
        <v>0</v>
      </c>
      <c r="J856" s="13">
        <v>0</v>
      </c>
      <c r="K856" s="14" t="str">
        <f>HYPERLINK("http://twitter.com","Twitter Web Client")</f>
        <v>Twitter Web Client</v>
      </c>
      <c r="L856" s="13">
        <v>10</v>
      </c>
      <c r="M856" s="13">
        <v>46</v>
      </c>
      <c r="N856" s="13">
        <v>0</v>
      </c>
      <c r="O856" s="15"/>
      <c r="P856" s="6">
        <v>42912.444780092592</v>
      </c>
      <c r="Q856" s="12"/>
      <c r="R856" s="20"/>
      <c r="S856" s="12"/>
      <c r="T856" s="12"/>
      <c r="U856" s="19" t="s">
        <v>359</v>
      </c>
    </row>
    <row r="857" spans="1:21" ht="30.6">
      <c r="A857" s="6">
        <v>43439.490590277783</v>
      </c>
      <c r="B857" s="7" t="str">
        <f>HYPERLINK("https://twitter.com/SoniaVilla88","@SoniaVilla88")</f>
        <v>@SoniaVilla88</v>
      </c>
      <c r="C857" s="8" t="s">
        <v>3049</v>
      </c>
      <c r="D857" s="9" t="s">
        <v>3050</v>
      </c>
      <c r="E857" s="10" t="str">
        <f>HYPERLINK("https://twitter.com/SoniaVilla88/status/1070268156328009731","1070268156328009731")</f>
        <v>1070268156328009731</v>
      </c>
      <c r="F857" s="11" t="s">
        <v>3051</v>
      </c>
      <c r="G857" s="11" t="s">
        <v>3052</v>
      </c>
      <c r="H857" s="12"/>
      <c r="I857" s="13">
        <v>0</v>
      </c>
      <c r="J857" s="13">
        <v>0</v>
      </c>
      <c r="K857" s="14" t="str">
        <f>HYPERLINK("http://twitter.com/download/iphone","Twitter for iPhone")</f>
        <v>Twitter for iPhone</v>
      </c>
      <c r="L857" s="13">
        <v>46</v>
      </c>
      <c r="M857" s="13">
        <v>121</v>
      </c>
      <c r="N857" s="13">
        <v>9</v>
      </c>
      <c r="O857" s="15"/>
      <c r="P857" s="6">
        <v>41985.847546296296</v>
      </c>
      <c r="Q857" s="12"/>
      <c r="R857" s="17" t="s">
        <v>3054</v>
      </c>
      <c r="S857" s="12"/>
      <c r="T857" s="12"/>
      <c r="U857" s="10" t="str">
        <f>HYPERLINK("https://pbs.twimg.com/profile_images/543486488957026304/fmKxY7wf.png","View")</f>
        <v>View</v>
      </c>
    </row>
    <row r="858" spans="1:21" ht="61.2">
      <c r="A858" s="6">
        <v>43439.487268518518</v>
      </c>
      <c r="B858" s="7" t="str">
        <f>HYPERLINK("https://twitter.com/juberi85","@juberi85")</f>
        <v>@juberi85</v>
      </c>
      <c r="C858" s="8" t="s">
        <v>3055</v>
      </c>
      <c r="D858" s="9" t="s">
        <v>3056</v>
      </c>
      <c r="E858" s="10" t="str">
        <f>HYPERLINK("https://twitter.com/juberi85/status/1070266951753191424","1070266951753191424")</f>
        <v>1070266951753191424</v>
      </c>
      <c r="F858" s="12"/>
      <c r="G858" s="12"/>
      <c r="H858" s="12"/>
      <c r="I858" s="13">
        <v>0</v>
      </c>
      <c r="J858" s="13">
        <v>2</v>
      </c>
      <c r="K858" s="14" t="str">
        <f t="shared" ref="K858:K859" si="155">HYPERLINK("http://twitter.com","Twitter Web Client")</f>
        <v>Twitter Web Client</v>
      </c>
      <c r="L858" s="13">
        <v>351</v>
      </c>
      <c r="M858" s="13">
        <v>1146</v>
      </c>
      <c r="N858" s="13">
        <v>0</v>
      </c>
      <c r="O858" s="15"/>
      <c r="P858" s="6">
        <v>42889.761412037042</v>
      </c>
      <c r="Q858" s="16" t="s">
        <v>1130</v>
      </c>
      <c r="R858" s="17" t="s">
        <v>3057</v>
      </c>
      <c r="S858" s="12"/>
      <c r="T858" s="12"/>
      <c r="U858" s="10" t="str">
        <f>HYPERLINK("https://pbs.twimg.com/profile_images/1070406166512091137/ITlDhUni.jpg","View")</f>
        <v>View</v>
      </c>
    </row>
    <row r="859" spans="1:21" ht="30.6">
      <c r="A859" s="6">
        <v>43439.482569444444</v>
      </c>
      <c r="B859" s="7" t="str">
        <f>HYPERLINK("https://twitter.com/pacohortado","@pacohortado")</f>
        <v>@pacohortado</v>
      </c>
      <c r="C859" s="8" t="s">
        <v>3058</v>
      </c>
      <c r="D859" s="9" t="s">
        <v>3059</v>
      </c>
      <c r="E859" s="10" t="str">
        <f>HYPERLINK("https://twitter.com/pacohortado/status/1070265249645907969","1070265249645907969")</f>
        <v>1070265249645907969</v>
      </c>
      <c r="F859" s="12"/>
      <c r="G859" s="11" t="s">
        <v>3060</v>
      </c>
      <c r="H859" s="12"/>
      <c r="I859" s="13">
        <v>0</v>
      </c>
      <c r="J859" s="13">
        <v>1</v>
      </c>
      <c r="K859" s="14" t="str">
        <f t="shared" si="155"/>
        <v>Twitter Web Client</v>
      </c>
      <c r="L859" s="13">
        <v>2502</v>
      </c>
      <c r="M859" s="13">
        <v>1922</v>
      </c>
      <c r="N859" s="13">
        <v>49</v>
      </c>
      <c r="O859" s="15"/>
      <c r="P859" s="6">
        <v>40957.884305555555</v>
      </c>
      <c r="Q859" s="12"/>
      <c r="R859" s="17" t="s">
        <v>3061</v>
      </c>
      <c r="S859" s="12"/>
      <c r="T859" s="12"/>
      <c r="U859" s="10" t="str">
        <f>HYPERLINK("https://pbs.twimg.com/profile_images/614868273948180480/ByNs7DtV.png","View")</f>
        <v>View</v>
      </c>
    </row>
    <row r="860" spans="1:21" ht="20.399999999999999">
      <c r="A860" s="6">
        <v>43439.477094907408</v>
      </c>
      <c r="B860" s="7" t="str">
        <f>HYPERLINK("https://twitter.com/parrantoni","@parrantoni")</f>
        <v>@parrantoni</v>
      </c>
      <c r="C860" s="8" t="s">
        <v>3062</v>
      </c>
      <c r="D860" s="9" t="s">
        <v>3063</v>
      </c>
      <c r="E860" s="10" t="str">
        <f>HYPERLINK("https://twitter.com/parrantoni/status/1070263264960020480","1070263264960020480")</f>
        <v>1070263264960020480</v>
      </c>
      <c r="F860" s="11" t="s">
        <v>2917</v>
      </c>
      <c r="G860" s="12"/>
      <c r="H860" s="12"/>
      <c r="I860" s="13">
        <v>0</v>
      </c>
      <c r="J860" s="13">
        <v>0</v>
      </c>
      <c r="K860" s="14" t="str">
        <f t="shared" ref="K860:K861" si="156">HYPERLINK("http://twitter.com/download/iphone","Twitter for iPhone")</f>
        <v>Twitter for iPhone</v>
      </c>
      <c r="L860" s="13">
        <v>3634</v>
      </c>
      <c r="M860" s="13">
        <v>2408</v>
      </c>
      <c r="N860" s="13">
        <v>39</v>
      </c>
      <c r="O860" s="15"/>
      <c r="P860" s="6">
        <v>40828.89135416667</v>
      </c>
      <c r="Q860" s="16" t="s">
        <v>3064</v>
      </c>
      <c r="R860" s="17" t="s">
        <v>3065</v>
      </c>
      <c r="S860" s="12"/>
      <c r="T860" s="12"/>
      <c r="U860" s="10" t="str">
        <f>HYPERLINK("https://pbs.twimg.com/profile_images/1069012925996769280/5A7rdQul.jpg","View")</f>
        <v>View</v>
      </c>
    </row>
    <row r="861" spans="1:21" ht="102">
      <c r="A861" s="6">
        <v>43439.475810185184</v>
      </c>
      <c r="B861" s="7" t="str">
        <f>HYPERLINK("https://twitter.com/ivgoes","@ivgoes")</f>
        <v>@ivgoes</v>
      </c>
      <c r="C861" s="8" t="s">
        <v>3066</v>
      </c>
      <c r="D861" s="9" t="s">
        <v>3067</v>
      </c>
      <c r="E861" s="10" t="str">
        <f>HYPERLINK("https://twitter.com/ivgoes/status/1070262799253819392","1070262799253819392")</f>
        <v>1070262799253819392</v>
      </c>
      <c r="F861" s="11" t="s">
        <v>3068</v>
      </c>
      <c r="G861" s="12"/>
      <c r="H861" s="12"/>
      <c r="I861" s="13">
        <v>10</v>
      </c>
      <c r="J861" s="13">
        <v>33</v>
      </c>
      <c r="K861" s="14" t="str">
        <f t="shared" si="156"/>
        <v>Twitter for iPhone</v>
      </c>
      <c r="L861" s="13">
        <v>726</v>
      </c>
      <c r="M861" s="13">
        <v>830</v>
      </c>
      <c r="N861" s="13">
        <v>7</v>
      </c>
      <c r="O861" s="15"/>
      <c r="P861" s="6">
        <v>42301.991990740746</v>
      </c>
      <c r="Q861" s="16" t="s">
        <v>3069</v>
      </c>
      <c r="R861" s="17" t="s">
        <v>3070</v>
      </c>
      <c r="S861" s="12"/>
      <c r="T861" s="12"/>
      <c r="U861" s="10" t="str">
        <f>HYPERLINK("https://pbs.twimg.com/profile_images/1066747778720776192/2zTXg44N.jpg","View")</f>
        <v>View</v>
      </c>
    </row>
    <row r="862" spans="1:21" ht="51">
      <c r="A862" s="6">
        <v>43439.475590277776</v>
      </c>
      <c r="B862" s="7" t="str">
        <f>HYPERLINK("https://twitter.com/asambleamajaras","@asambleamajaras")</f>
        <v>@asambleamajaras</v>
      </c>
      <c r="C862" s="8" t="s">
        <v>472</v>
      </c>
      <c r="D862" s="9" t="s">
        <v>3071</v>
      </c>
      <c r="E862" s="10" t="str">
        <f>HYPERLINK("https://twitter.com/asambleamajaras/status/1070262721491451905","1070262721491451905")</f>
        <v>1070262721491451905</v>
      </c>
      <c r="F862" s="12"/>
      <c r="G862" s="12"/>
      <c r="H862" s="12"/>
      <c r="I862" s="13">
        <v>0</v>
      </c>
      <c r="J862" s="13">
        <v>0</v>
      </c>
      <c r="K862" s="14" t="str">
        <f>HYPERLINK("http://twitter.com/download/android","Twitter for Android")</f>
        <v>Twitter for Android</v>
      </c>
      <c r="L862" s="13">
        <v>2280</v>
      </c>
      <c r="M862" s="13">
        <v>2079</v>
      </c>
      <c r="N862" s="13">
        <v>78</v>
      </c>
      <c r="O862" s="15"/>
      <c r="P862" s="6">
        <v>40215.998657407406</v>
      </c>
      <c r="Q862" s="16" t="s">
        <v>48</v>
      </c>
      <c r="R862" s="17" t="s">
        <v>475</v>
      </c>
      <c r="S862" s="11" t="s">
        <v>476</v>
      </c>
      <c r="T862" s="12"/>
      <c r="U862" s="10" t="str">
        <f>HYPERLINK("https://pbs.twimg.com/profile_images/680158208/asambleademajaras_logo_y_texto.jpg","View")</f>
        <v>View</v>
      </c>
    </row>
    <row r="863" spans="1:21" ht="51">
      <c r="A863" s="6">
        <v>43439.473136574074</v>
      </c>
      <c r="B863" s="7" t="str">
        <f>HYPERLINK("https://twitter.com/Sevilla24H","@Sevilla24H")</f>
        <v>@Sevilla24H</v>
      </c>
      <c r="C863" s="8" t="s">
        <v>2984</v>
      </c>
      <c r="D863" s="9" t="s">
        <v>3072</v>
      </c>
      <c r="E863" s="10" t="str">
        <f>HYPERLINK("https://twitter.com/Sevilla24H/status/1070261829773991936","1070261829773991936")</f>
        <v>1070261829773991936</v>
      </c>
      <c r="F863" s="11" t="s">
        <v>3073</v>
      </c>
      <c r="G863" s="12"/>
      <c r="H863" s="12"/>
      <c r="I863" s="13">
        <v>0</v>
      </c>
      <c r="J863" s="13">
        <v>0</v>
      </c>
      <c r="K863" s="14" t="str">
        <f>HYPERLINK("https://ifttt.com","IFTTT")</f>
        <v>IFTTT</v>
      </c>
      <c r="L863" s="13">
        <v>511</v>
      </c>
      <c r="M863" s="13">
        <v>750</v>
      </c>
      <c r="N863" s="13">
        <v>11</v>
      </c>
      <c r="O863" s="15"/>
      <c r="P863" s="6">
        <v>41294.599583333329</v>
      </c>
      <c r="Q863" s="16" t="s">
        <v>1171</v>
      </c>
      <c r="R863" s="17" t="s">
        <v>2987</v>
      </c>
      <c r="S863" s="11" t="s">
        <v>2988</v>
      </c>
      <c r="T863" s="12"/>
      <c r="U863" s="10" t="str">
        <f>HYPERLINK("https://pbs.twimg.com/profile_images/833777334108975104/fgeZLBXg.jpg","View")</f>
        <v>View</v>
      </c>
    </row>
    <row r="864" spans="1:21" ht="40.799999999999997">
      <c r="A864" s="6">
        <v>43439.470590277779</v>
      </c>
      <c r="B864" s="7" t="str">
        <f>HYPERLINK("https://twitter.com/GeorgeW1nters","@GeorgeW1nters")</f>
        <v>@GeorgeW1nters</v>
      </c>
      <c r="C864" s="8" t="s">
        <v>3074</v>
      </c>
      <c r="D864" s="9" t="s">
        <v>3075</v>
      </c>
      <c r="E864" s="10" t="str">
        <f>HYPERLINK("https://twitter.com/GeorgeW1nters/status/1070260909422071809","1070260909422071809")</f>
        <v>1070260909422071809</v>
      </c>
      <c r="F864" s="11" t="s">
        <v>3076</v>
      </c>
      <c r="G864" s="12"/>
      <c r="H864" s="12"/>
      <c r="I864" s="13">
        <v>0</v>
      </c>
      <c r="J864" s="13">
        <v>11</v>
      </c>
      <c r="K864" s="14" t="str">
        <f>HYPERLINK("https://curiouscat.me","Curious Cat")</f>
        <v>Curious Cat</v>
      </c>
      <c r="L864" s="13">
        <v>436</v>
      </c>
      <c r="M864" s="13">
        <v>660</v>
      </c>
      <c r="N864" s="13">
        <v>1</v>
      </c>
      <c r="O864" s="15"/>
      <c r="P864" s="6">
        <v>41756.505289351851</v>
      </c>
      <c r="Q864" s="16" t="s">
        <v>3077</v>
      </c>
      <c r="R864" s="17" t="s">
        <v>3078</v>
      </c>
      <c r="S864" s="11" t="s">
        <v>3079</v>
      </c>
      <c r="T864" s="12"/>
      <c r="U864" s="10" t="str">
        <f>HYPERLINK("https://pbs.twimg.com/profile_images/1066124583831568384/AFp4l5HQ.jpg","View")</f>
        <v>View</v>
      </c>
    </row>
    <row r="865" spans="1:21" ht="30.6">
      <c r="A865" s="6">
        <v>43439.466493055559</v>
      </c>
      <c r="B865" s="7" t="str">
        <f>HYPERLINK("https://twitter.com/periodicovzlano","@periodicovzlano")</f>
        <v>@periodicovzlano</v>
      </c>
      <c r="C865" s="8" t="s">
        <v>2671</v>
      </c>
      <c r="D865" s="9" t="s">
        <v>2672</v>
      </c>
      <c r="E865" s="10" t="str">
        <f>HYPERLINK("https://twitter.com/periodicovzlano/status/1070259422319009792","1070259422319009792")</f>
        <v>1070259422319009792</v>
      </c>
      <c r="F865" s="11" t="s">
        <v>2673</v>
      </c>
      <c r="G865" s="11" t="s">
        <v>3080</v>
      </c>
      <c r="H865" s="12"/>
      <c r="I865" s="13">
        <v>1</v>
      </c>
      <c r="J865" s="13">
        <v>1</v>
      </c>
      <c r="K865" s="14" t="str">
        <f>HYPERLINK("http://epmundo.com","Tuiteo TOP EP (1)")</f>
        <v>Tuiteo TOP EP (1)</v>
      </c>
      <c r="L865" s="13">
        <v>479694</v>
      </c>
      <c r="M865" s="13">
        <v>358804</v>
      </c>
      <c r="N865" s="13">
        <v>1295</v>
      </c>
      <c r="O865" s="15"/>
      <c r="P865" s="6">
        <v>40663.3512962963</v>
      </c>
      <c r="Q865" s="16" t="s">
        <v>861</v>
      </c>
      <c r="R865" s="17" t="s">
        <v>2675</v>
      </c>
      <c r="S865" s="11" t="s">
        <v>2676</v>
      </c>
      <c r="T865" s="12"/>
      <c r="U865" s="10" t="str">
        <f>HYPERLINK("https://pbs.twimg.com/profile_images/958328579250638849/MCz7Q8U6.jpg","View")</f>
        <v>View</v>
      </c>
    </row>
    <row r="866" spans="1:21" ht="40.799999999999997">
      <c r="A866" s="6">
        <v>43439.466469907406</v>
      </c>
      <c r="B866" s="7" t="str">
        <f>HYPERLINK("https://twitter.com/brubeaker","@brubeaker")</f>
        <v>@brubeaker</v>
      </c>
      <c r="C866" s="8" t="s">
        <v>1205</v>
      </c>
      <c r="D866" s="9" t="s">
        <v>3081</v>
      </c>
      <c r="E866" s="10" t="str">
        <f>HYPERLINK("https://twitter.com/brubeaker/status/1070259414307926016","1070259414307926016")</f>
        <v>1070259414307926016</v>
      </c>
      <c r="F866" s="11" t="s">
        <v>3082</v>
      </c>
      <c r="G866" s="12"/>
      <c r="H866" s="12"/>
      <c r="I866" s="13">
        <v>0</v>
      </c>
      <c r="J866" s="13">
        <v>0</v>
      </c>
      <c r="K866" s="14" t="str">
        <f t="shared" ref="K866:K867" si="157">HYPERLINK("http://twitter.com","Twitter Web Client")</f>
        <v>Twitter Web Client</v>
      </c>
      <c r="L866" s="13">
        <v>38</v>
      </c>
      <c r="M866" s="13">
        <v>164</v>
      </c>
      <c r="N866" s="13">
        <v>2</v>
      </c>
      <c r="O866" s="15"/>
      <c r="P866" s="6">
        <v>41780.336550925924</v>
      </c>
      <c r="Q866" s="12"/>
      <c r="R866" s="17" t="s">
        <v>1207</v>
      </c>
      <c r="S866" s="12"/>
      <c r="T866" s="12"/>
      <c r="U866" s="10" t="str">
        <f>HYPERLINK("https://pbs.twimg.com/profile_images/1036025081179332608/VWYH9QdS.jpg","View")</f>
        <v>View</v>
      </c>
    </row>
    <row r="867" spans="1:21" ht="30.6">
      <c r="A867" s="6">
        <v>43439.462071759262</v>
      </c>
      <c r="B867" s="7" t="str">
        <f>HYPERLINK("https://twitter.com/republicano1945","@republicano1945")</f>
        <v>@republicano1945</v>
      </c>
      <c r="C867" s="8" t="s">
        <v>3083</v>
      </c>
      <c r="D867" s="9" t="s">
        <v>2949</v>
      </c>
      <c r="E867" s="10" t="str">
        <f>HYPERLINK("https://twitter.com/republicano1945/status/1070257821063766016","1070257821063766016")</f>
        <v>1070257821063766016</v>
      </c>
      <c r="F867" s="11" t="s">
        <v>2917</v>
      </c>
      <c r="G867" s="12"/>
      <c r="H867" s="12"/>
      <c r="I867" s="13">
        <v>0</v>
      </c>
      <c r="J867" s="13">
        <v>1</v>
      </c>
      <c r="K867" s="14" t="str">
        <f t="shared" si="157"/>
        <v>Twitter Web Client</v>
      </c>
      <c r="L867" s="13">
        <v>8276</v>
      </c>
      <c r="M867" s="13">
        <v>8434</v>
      </c>
      <c r="N867" s="13">
        <v>20</v>
      </c>
      <c r="O867" s="15"/>
      <c r="P867" s="6">
        <v>42992.106516203705</v>
      </c>
      <c r="Q867" s="16" t="s">
        <v>3084</v>
      </c>
      <c r="R867" s="17" t="s">
        <v>3085</v>
      </c>
      <c r="S867" s="12"/>
      <c r="T867" s="12"/>
      <c r="U867" s="10" t="str">
        <f>HYPERLINK("https://pbs.twimg.com/profile_images/920346803001856000/ZsnGz_F1.jpg","View")</f>
        <v>View</v>
      </c>
    </row>
    <row r="868" spans="1:21" ht="20.399999999999999">
      <c r="A868" s="6">
        <v>43439.458194444444</v>
      </c>
      <c r="B868" s="7" t="str">
        <f>HYPERLINK("https://twitter.com/mark_diez89","@mark_diez89")</f>
        <v>@mark_diez89</v>
      </c>
      <c r="C868" s="8" t="s">
        <v>3086</v>
      </c>
      <c r="D868" s="9" t="s">
        <v>3087</v>
      </c>
      <c r="E868" s="10" t="str">
        <f>HYPERLINK("https://twitter.com/mark_diez89/status/1070256416697524224","1070256416697524224")</f>
        <v>1070256416697524224</v>
      </c>
      <c r="F868" s="12"/>
      <c r="G868" s="12"/>
      <c r="H868" s="12"/>
      <c r="I868" s="13">
        <v>0</v>
      </c>
      <c r="J868" s="13">
        <v>0</v>
      </c>
      <c r="K868" s="14" t="str">
        <f>HYPERLINK("http://twitter.com/download/android","Twitter for Android")</f>
        <v>Twitter for Android</v>
      </c>
      <c r="L868" s="13">
        <v>215</v>
      </c>
      <c r="M868" s="13">
        <v>156</v>
      </c>
      <c r="N868" s="13">
        <v>5</v>
      </c>
      <c r="O868" s="15"/>
      <c r="P868" s="6">
        <v>40713.902187500003</v>
      </c>
      <c r="Q868" s="16" t="s">
        <v>3088</v>
      </c>
      <c r="R868" s="20"/>
      <c r="S868" s="12"/>
      <c r="T868" s="12"/>
      <c r="U868" s="10" t="str">
        <f>HYPERLINK("https://pbs.twimg.com/profile_images/673093881672671232/1eN49qLQ.jpg","View")</f>
        <v>View</v>
      </c>
    </row>
    <row r="869" spans="1:21" ht="51">
      <c r="A869" s="6">
        <v>43439.457326388889</v>
      </c>
      <c r="B869" s="7" t="str">
        <f>HYPERLINK("https://twitter.com/vecinodeorden","@vecinodeorden")</f>
        <v>@vecinodeorden</v>
      </c>
      <c r="C869" s="8" t="s">
        <v>3089</v>
      </c>
      <c r="D869" s="9" t="s">
        <v>3090</v>
      </c>
      <c r="E869" s="10" t="str">
        <f>HYPERLINK("https://twitter.com/vecinodeorden/status/1070256100266663936","1070256100266663936")</f>
        <v>1070256100266663936</v>
      </c>
      <c r="F869" s="12"/>
      <c r="G869" s="12"/>
      <c r="H869" s="12"/>
      <c r="I869" s="13">
        <v>0</v>
      </c>
      <c r="J869" s="13">
        <v>0</v>
      </c>
      <c r="K869" s="14" t="str">
        <f>HYPERLINK("http://twitter.com/#!/download/ipad","Twitter for iPad")</f>
        <v>Twitter for iPad</v>
      </c>
      <c r="L869" s="13">
        <v>356</v>
      </c>
      <c r="M869" s="13">
        <v>518</v>
      </c>
      <c r="N869" s="13">
        <v>11</v>
      </c>
      <c r="O869" s="15"/>
      <c r="P869" s="6">
        <v>41893.651273148149</v>
      </c>
      <c r="Q869" s="16" t="s">
        <v>3091</v>
      </c>
      <c r="R869" s="17" t="s">
        <v>3092</v>
      </c>
      <c r="S869" s="12"/>
      <c r="T869" s="12"/>
      <c r="U869" s="10" t="str">
        <f>HYPERLINK("https://pbs.twimg.com/profile_images/926037200332099586/KJhWPbYO.jpg","View")</f>
        <v>View</v>
      </c>
    </row>
    <row r="870" spans="1:21" ht="51">
      <c r="A870" s="6">
        <v>43439.455937499995</v>
      </c>
      <c r="B870" s="7" t="str">
        <f>HYPERLINK("https://twitter.com/kaesarboiisss","@kaesarboiisss")</f>
        <v>@kaesarboiisss</v>
      </c>
      <c r="C870" s="8" t="s">
        <v>3093</v>
      </c>
      <c r="D870" s="9" t="s">
        <v>3094</v>
      </c>
      <c r="E870" s="10" t="str">
        <f>HYPERLINK("https://twitter.com/kaesarboiisss/status/1070255597185064960","1070255597185064960")</f>
        <v>1070255597185064960</v>
      </c>
      <c r="F870" s="12"/>
      <c r="G870" s="11" t="s">
        <v>3095</v>
      </c>
      <c r="H870" s="12"/>
      <c r="I870" s="13">
        <v>2</v>
      </c>
      <c r="J870" s="13">
        <v>0</v>
      </c>
      <c r="K870" s="14" t="str">
        <f>HYPERLINK("http://twitter.com/download/android","Twitter for Android")</f>
        <v>Twitter for Android</v>
      </c>
      <c r="L870" s="13">
        <v>3047</v>
      </c>
      <c r="M870" s="13">
        <v>3031</v>
      </c>
      <c r="N870" s="13">
        <v>37</v>
      </c>
      <c r="O870" s="15"/>
      <c r="P870" s="6">
        <v>41399.000393518516</v>
      </c>
      <c r="Q870" s="12"/>
      <c r="R870" s="17" t="s">
        <v>3096</v>
      </c>
      <c r="S870" s="12"/>
      <c r="T870" s="12"/>
      <c r="U870" s="10" t="str">
        <f>HYPERLINK("https://pbs.twimg.com/profile_images/378800000780967520/ec89d42bf55fefdea729c05e9e11574d.jpeg","View")</f>
        <v>View</v>
      </c>
    </row>
    <row r="871" spans="1:21" ht="40.799999999999997">
      <c r="A871" s="6">
        <v>43439.454293981486</v>
      </c>
      <c r="B871" s="7" t="str">
        <f>HYPERLINK("https://twitter.com/AlexisMariM","@AlexisMariM")</f>
        <v>@AlexisMariM</v>
      </c>
      <c r="C871" s="8" t="s">
        <v>3097</v>
      </c>
      <c r="D871" s="9" t="s">
        <v>3098</v>
      </c>
      <c r="E871" s="10" t="str">
        <f>HYPERLINK("https://twitter.com/AlexisMariM/status/1070255000931180544","1070255000931180544")</f>
        <v>1070255000931180544</v>
      </c>
      <c r="F871" s="11" t="s">
        <v>3051</v>
      </c>
      <c r="G871" s="12"/>
      <c r="H871" s="12"/>
      <c r="I871" s="13">
        <v>0</v>
      </c>
      <c r="J871" s="13">
        <v>3</v>
      </c>
      <c r="K871" s="14" t="str">
        <f t="shared" ref="K871:K872" si="158">HYPERLINK("http://twitter.com/download/iphone","Twitter for iPhone")</f>
        <v>Twitter for iPhone</v>
      </c>
      <c r="L871" s="13">
        <v>6151</v>
      </c>
      <c r="M871" s="13">
        <v>2607</v>
      </c>
      <c r="N871" s="13">
        <v>73</v>
      </c>
      <c r="O871" s="15"/>
      <c r="P871" s="6">
        <v>40783.946504629632</v>
      </c>
      <c r="Q871" s="16" t="s">
        <v>3099</v>
      </c>
      <c r="R871" s="17" t="s">
        <v>3100</v>
      </c>
      <c r="S871" s="12"/>
      <c r="T871" s="12"/>
      <c r="U871" s="10" t="str">
        <f>HYPERLINK("https://pbs.twimg.com/profile_images/972429526222491648/Na1cQ0TX.jpg","View")</f>
        <v>View</v>
      </c>
    </row>
    <row r="872" spans="1:21" ht="51">
      <c r="A872" s="6">
        <v>43439.45144675926</v>
      </c>
      <c r="B872" s="7" t="str">
        <f>HYPERLINK("https://twitter.com/JuliaRubioMas","@JuliaRubioMas")</f>
        <v>@JuliaRubioMas</v>
      </c>
      <c r="C872" s="8" t="s">
        <v>802</v>
      </c>
      <c r="D872" s="9" t="s">
        <v>3101</v>
      </c>
      <c r="E872" s="10" t="str">
        <f>HYPERLINK("https://twitter.com/JuliaRubioMas/status/1070253969409216512","1070253969409216512")</f>
        <v>1070253969409216512</v>
      </c>
      <c r="F872" s="11" t="s">
        <v>2917</v>
      </c>
      <c r="G872" s="12"/>
      <c r="H872" s="12"/>
      <c r="I872" s="13">
        <v>2</v>
      </c>
      <c r="J872" s="13">
        <v>2</v>
      </c>
      <c r="K872" s="14" t="str">
        <f t="shared" si="158"/>
        <v>Twitter for iPhone</v>
      </c>
      <c r="L872" s="13">
        <v>709</v>
      </c>
      <c r="M872" s="13">
        <v>706</v>
      </c>
      <c r="N872" s="13">
        <v>9</v>
      </c>
      <c r="O872" s="15"/>
      <c r="P872" s="6">
        <v>40674.557986111111</v>
      </c>
      <c r="Q872" s="16" t="s">
        <v>805</v>
      </c>
      <c r="R872" s="17" t="s">
        <v>806</v>
      </c>
      <c r="S872" s="12"/>
      <c r="T872" s="12"/>
      <c r="U872" s="10" t="str">
        <f>HYPERLINK("https://pbs.twimg.com/profile_images/378800000842506589/a906bfe43369ca1cc1b0c8b80f00643f.jpeg","View")</f>
        <v>View</v>
      </c>
    </row>
    <row r="873" spans="1:21" ht="20.399999999999999">
      <c r="A873" s="6">
        <v>43439.444467592592</v>
      </c>
      <c r="B873" s="7" t="str">
        <f>HYPERLINK("https://twitter.com/manutriana54","@manutriana54")</f>
        <v>@manutriana54</v>
      </c>
      <c r="C873" s="8" t="s">
        <v>3102</v>
      </c>
      <c r="D873" s="9" t="s">
        <v>3103</v>
      </c>
      <c r="E873" s="10" t="str">
        <f>HYPERLINK("https://twitter.com/manutriana54/status/1070251439992303616","1070251439992303616")</f>
        <v>1070251439992303616</v>
      </c>
      <c r="F873" s="11" t="s">
        <v>3104</v>
      </c>
      <c r="G873" s="12"/>
      <c r="H873" s="12"/>
      <c r="I873" s="13">
        <v>0</v>
      </c>
      <c r="J873" s="13">
        <v>1</v>
      </c>
      <c r="K873" s="14" t="str">
        <f>HYPERLINK("http://twitter.com","Twitter Web Client")</f>
        <v>Twitter Web Client</v>
      </c>
      <c r="L873" s="13">
        <v>617</v>
      </c>
      <c r="M873" s="13">
        <v>583</v>
      </c>
      <c r="N873" s="13">
        <v>2</v>
      </c>
      <c r="O873" s="15"/>
      <c r="P873" s="6">
        <v>42485.334814814814</v>
      </c>
      <c r="Q873" s="12"/>
      <c r="R873" s="20"/>
      <c r="S873" s="12"/>
      <c r="T873" s="12"/>
      <c r="U873" s="10" t="str">
        <f>HYPERLINK("https://pbs.twimg.com/profile_images/853130065730818048/3P4EPxb9.jpg","View")</f>
        <v>View</v>
      </c>
    </row>
    <row r="874" spans="1:21" ht="20.399999999999999">
      <c r="A874" s="6">
        <v>43439.44127314815</v>
      </c>
      <c r="B874" s="7" t="str">
        <f>HYPERLINK("https://twitter.com/EP_Mundo","@EP_Mundo")</f>
        <v>@EP_Mundo</v>
      </c>
      <c r="C874" s="8" t="s">
        <v>2762</v>
      </c>
      <c r="D874" s="9" t="s">
        <v>2718</v>
      </c>
      <c r="E874" s="10" t="str">
        <f>HYPERLINK("https://twitter.com/EP_Mundo/status/1070250283396157440","1070250283396157440")</f>
        <v>1070250283396157440</v>
      </c>
      <c r="F874" s="11" t="s">
        <v>2673</v>
      </c>
      <c r="G874" s="11" t="s">
        <v>3106</v>
      </c>
      <c r="H874" s="12"/>
      <c r="I874" s="13">
        <v>0</v>
      </c>
      <c r="J874" s="13">
        <v>0</v>
      </c>
      <c r="K874" s="14" t="str">
        <f>HYPERLINK("http://epmundo.com","Tuiteo TOP EP (2)")</f>
        <v>Tuiteo TOP EP (2)</v>
      </c>
      <c r="L874" s="13">
        <v>510219</v>
      </c>
      <c r="M874" s="13">
        <v>301867</v>
      </c>
      <c r="N874" s="13">
        <v>1363</v>
      </c>
      <c r="O874" s="15"/>
      <c r="P874" s="6">
        <v>40203.223078703704</v>
      </c>
      <c r="Q874" s="12"/>
      <c r="R874" s="17" t="s">
        <v>2764</v>
      </c>
      <c r="S874" s="11" t="s">
        <v>2765</v>
      </c>
      <c r="T874" s="12"/>
      <c r="U874" s="10" t="str">
        <f>HYPERLINK("https://pbs.twimg.com/profile_images/958329583778099200/87-xiuzB.jpg","View")</f>
        <v>View</v>
      </c>
    </row>
    <row r="875" spans="1:21" ht="30.6">
      <c r="A875" s="6">
        <v>43439.439293981486</v>
      </c>
      <c r="B875" s="7" t="str">
        <f>HYPERLINK("https://twitter.com/Delfos72220099","@Delfos72220099")</f>
        <v>@Delfos72220099</v>
      </c>
      <c r="C875" s="8" t="s">
        <v>3107</v>
      </c>
      <c r="D875" s="9" t="s">
        <v>3108</v>
      </c>
      <c r="E875" s="10" t="str">
        <f>HYPERLINK("https://twitter.com/Delfos72220099/status/1070249567080337408","1070249567080337408")</f>
        <v>1070249567080337408</v>
      </c>
      <c r="F875" s="12"/>
      <c r="G875" s="12"/>
      <c r="H875" s="12"/>
      <c r="I875" s="13">
        <v>0</v>
      </c>
      <c r="J875" s="13">
        <v>0</v>
      </c>
      <c r="K875" s="14" t="str">
        <f>HYPERLINK("http://twitter.com/download/android","Twitter for Android")</f>
        <v>Twitter for Android</v>
      </c>
      <c r="L875" s="13">
        <v>23</v>
      </c>
      <c r="M875" s="13">
        <v>22</v>
      </c>
      <c r="N875" s="13">
        <v>0</v>
      </c>
      <c r="O875" s="15"/>
      <c r="P875" s="6">
        <v>42877.546527777777</v>
      </c>
      <c r="Q875" s="12"/>
      <c r="R875" s="17" t="s">
        <v>3109</v>
      </c>
      <c r="S875" s="12"/>
      <c r="T875" s="12"/>
      <c r="U875" s="10" t="str">
        <f>HYPERLINK("https://pbs.twimg.com/profile_images/978502010571055104/0HPyXYrL.jpg","View")</f>
        <v>View</v>
      </c>
    </row>
    <row r="876" spans="1:21" ht="20.399999999999999">
      <c r="A876" s="6">
        <v>43439.437997685185</v>
      </c>
      <c r="B876" s="7" t="str">
        <f>HYPERLINK("https://twitter.com/elmundocs","@elmundocs")</f>
        <v>@elmundocs</v>
      </c>
      <c r="C876" s="8" t="s">
        <v>3110</v>
      </c>
      <c r="D876" s="9" t="s">
        <v>2916</v>
      </c>
      <c r="E876" s="10" t="str">
        <f>HYPERLINK("https://twitter.com/elmundocs/status/1070249094621339653","1070249094621339653")</f>
        <v>1070249094621339653</v>
      </c>
      <c r="F876" s="11" t="s">
        <v>2917</v>
      </c>
      <c r="G876" s="12"/>
      <c r="H876" s="12"/>
      <c r="I876" s="13">
        <v>0</v>
      </c>
      <c r="J876" s="13">
        <v>0</v>
      </c>
      <c r="K876" s="14" t="str">
        <f t="shared" ref="K876:K877" si="159">HYPERLINK("http://twitter.com","Twitter Web Client")</f>
        <v>Twitter Web Client</v>
      </c>
      <c r="L876" s="13">
        <v>7955</v>
      </c>
      <c r="M876" s="13">
        <v>151</v>
      </c>
      <c r="N876" s="13">
        <v>184</v>
      </c>
      <c r="O876" s="15"/>
      <c r="P876" s="6">
        <v>40854.714965277773</v>
      </c>
      <c r="Q876" s="16" t="s">
        <v>3111</v>
      </c>
      <c r="R876" s="17" t="s">
        <v>3112</v>
      </c>
      <c r="S876" s="11" t="s">
        <v>3113</v>
      </c>
      <c r="T876" s="12"/>
      <c r="U876" s="10" t="str">
        <f>HYPERLINK("https://pbs.twimg.com/profile_images/972562729029554176/-baSMgYJ.jpg","View")</f>
        <v>View</v>
      </c>
    </row>
    <row r="877" spans="1:21" ht="30.6">
      <c r="A877" s="6">
        <v>43439.437835648147</v>
      </c>
      <c r="B877" s="7" t="str">
        <f>HYPERLINK("https://twitter.com/abarea_es","@abarea_es")</f>
        <v>@abarea_es</v>
      </c>
      <c r="C877" s="8" t="s">
        <v>3114</v>
      </c>
      <c r="D877" s="9" t="s">
        <v>3115</v>
      </c>
      <c r="E877" s="10" t="str">
        <f>HYPERLINK("https://twitter.com/abarea_es/status/1070249035896946688","1070249035896946688")</f>
        <v>1070249035896946688</v>
      </c>
      <c r="F877" s="11" t="s">
        <v>2917</v>
      </c>
      <c r="G877" s="12"/>
      <c r="H877" s="12"/>
      <c r="I877" s="13">
        <v>0</v>
      </c>
      <c r="J877" s="13">
        <v>0</v>
      </c>
      <c r="K877" s="14" t="str">
        <f t="shared" si="159"/>
        <v>Twitter Web Client</v>
      </c>
      <c r="L877" s="13">
        <v>1743</v>
      </c>
      <c r="M877" s="13">
        <v>2372</v>
      </c>
      <c r="N877" s="13">
        <v>18</v>
      </c>
      <c r="O877" s="15"/>
      <c r="P877" s="6">
        <v>40645.854930555557</v>
      </c>
      <c r="Q877" s="16" t="s">
        <v>945</v>
      </c>
      <c r="R877" s="17" t="s">
        <v>3116</v>
      </c>
      <c r="S877" s="12"/>
      <c r="T877" s="12"/>
      <c r="U877" s="10" t="str">
        <f>HYPERLINK("https://pbs.twimg.com/profile_images/938839925201555462/61j9MW37.jpg","View")</f>
        <v>View</v>
      </c>
    </row>
    <row r="878" spans="1:21" ht="20.399999999999999">
      <c r="A878" s="6">
        <v>43439.437754629631</v>
      </c>
      <c r="B878" s="7" t="str">
        <f>HYPERLINK("https://twitter.com/SuperVeraz","@SuperVeraz")</f>
        <v>@SuperVeraz</v>
      </c>
      <c r="C878" s="8" t="s">
        <v>3117</v>
      </c>
      <c r="D878" s="9" t="s">
        <v>2672</v>
      </c>
      <c r="E878" s="10" t="str">
        <f>HYPERLINK("https://twitter.com/SuperVeraz/status/1070249006897479680","1070249006897479680")</f>
        <v>1070249006897479680</v>
      </c>
      <c r="F878" s="11" t="s">
        <v>2719</v>
      </c>
      <c r="G878" s="11" t="s">
        <v>3118</v>
      </c>
      <c r="H878" s="12"/>
      <c r="I878" s="13">
        <v>0</v>
      </c>
      <c r="J878" s="13">
        <v>0</v>
      </c>
      <c r="K878" s="14" t="str">
        <f>HYPERLINK("http://epmundo.com","Tuiteo TOP EP (3)")</f>
        <v>Tuiteo TOP EP (3)</v>
      </c>
      <c r="L878" s="13">
        <v>25111</v>
      </c>
      <c r="M878" s="13">
        <v>25017</v>
      </c>
      <c r="N878" s="13">
        <v>36</v>
      </c>
      <c r="O878" s="15"/>
      <c r="P878" s="6">
        <v>42316.960196759261</v>
      </c>
      <c r="Q878" s="12"/>
      <c r="R878" s="17" t="s">
        <v>3119</v>
      </c>
      <c r="S878" s="12"/>
      <c r="T878" s="12"/>
      <c r="U878" s="10" t="str">
        <f>HYPERLINK("https://pbs.twimg.com/profile_images/913065497314422785/YFj9YjjH.jpg","View")</f>
        <v>View</v>
      </c>
    </row>
    <row r="879" spans="1:21" ht="51">
      <c r="A879" s="6">
        <v>43439.43545138889</v>
      </c>
      <c r="B879" s="7" t="str">
        <f>HYPERLINK("https://twitter.com/eraser","@eraser")</f>
        <v>@eraser</v>
      </c>
      <c r="C879" s="8" t="s">
        <v>2082</v>
      </c>
      <c r="D879" s="9" t="s">
        <v>3120</v>
      </c>
      <c r="E879" s="10" t="str">
        <f>HYPERLINK("https://twitter.com/eraser/status/1070248174105829376","1070248174105829376")</f>
        <v>1070248174105829376</v>
      </c>
      <c r="F879" s="11" t="s">
        <v>3121</v>
      </c>
      <c r="G879" s="12"/>
      <c r="H879" s="12"/>
      <c r="I879" s="13">
        <v>4</v>
      </c>
      <c r="J879" s="13">
        <v>0</v>
      </c>
      <c r="K879" s="14" t="str">
        <f>HYPERLINK("https://www.hootsuite.com","Hootsuite Inc.")</f>
        <v>Hootsuite Inc.</v>
      </c>
      <c r="L879" s="13">
        <v>24358</v>
      </c>
      <c r="M879" s="13">
        <v>12897</v>
      </c>
      <c r="N879" s="13">
        <v>2123</v>
      </c>
      <c r="O879" s="15"/>
      <c r="P879" s="6">
        <v>39173.592187499999</v>
      </c>
      <c r="Q879" s="16" t="s">
        <v>735</v>
      </c>
      <c r="R879" s="17" t="s">
        <v>2084</v>
      </c>
      <c r="S879" s="11" t="s">
        <v>2085</v>
      </c>
      <c r="T879" s="12"/>
      <c r="U879" s="10" t="str">
        <f>HYPERLINK("https://pbs.twimg.com/profile_images/994702690893664262/0BxqBxIU.jpg","View")</f>
        <v>View</v>
      </c>
    </row>
    <row r="880" spans="1:21" ht="30.6">
      <c r="A880" s="6">
        <v>43439.432719907403</v>
      </c>
      <c r="B880" s="7" t="str">
        <f>HYPERLINK("https://twitter.com/miriromer97","@miriromer97")</f>
        <v>@miriromer97</v>
      </c>
      <c r="C880" s="8" t="s">
        <v>3122</v>
      </c>
      <c r="D880" s="9" t="s">
        <v>3123</v>
      </c>
      <c r="E880" s="10" t="str">
        <f>HYPERLINK("https://twitter.com/miriromer97/status/1070247182811287552","1070247182811287552")</f>
        <v>1070247182811287552</v>
      </c>
      <c r="F880" s="11" t="s">
        <v>3124</v>
      </c>
      <c r="G880" s="11" t="s">
        <v>3125</v>
      </c>
      <c r="H880" s="12"/>
      <c r="I880" s="13">
        <v>0</v>
      </c>
      <c r="J880" s="13">
        <v>0</v>
      </c>
      <c r="K880" s="14" t="str">
        <f>HYPERLINK("https://dlvrit.com/","dlvr.it")</f>
        <v>dlvr.it</v>
      </c>
      <c r="L880" s="13">
        <v>61</v>
      </c>
      <c r="M880" s="13">
        <v>373</v>
      </c>
      <c r="N880" s="13">
        <v>0</v>
      </c>
      <c r="O880" s="15"/>
      <c r="P880" s="6">
        <v>43005.498425925922</v>
      </c>
      <c r="Q880" s="16" t="s">
        <v>3126</v>
      </c>
      <c r="R880" s="17" t="s">
        <v>3127</v>
      </c>
      <c r="S880" s="12"/>
      <c r="T880" s="12"/>
      <c r="U880" s="10" t="str">
        <f>HYPERLINK("https://pbs.twimg.com/profile_images/912980515921305600/Ad2kv7IP.jpg","View")</f>
        <v>View</v>
      </c>
    </row>
    <row r="881" spans="1:21" ht="30.6">
      <c r="A881" s="6">
        <v>43439.429502314815</v>
      </c>
      <c r="B881" s="7" t="str">
        <f>HYPERLINK("https://twitter.com/nomemandescall3","@nomemandescall3")</f>
        <v>@nomemandescall3</v>
      </c>
      <c r="C881" s="8" t="s">
        <v>3128</v>
      </c>
      <c r="D881" s="9" t="s">
        <v>3050</v>
      </c>
      <c r="E881" s="10" t="str">
        <f>HYPERLINK("https://twitter.com/nomemandescall3/status/1070246017369554944","1070246017369554944")</f>
        <v>1070246017369554944</v>
      </c>
      <c r="F881" s="11" t="s">
        <v>3051</v>
      </c>
      <c r="G881" s="12"/>
      <c r="H881" s="12"/>
      <c r="I881" s="13">
        <v>0</v>
      </c>
      <c r="J881" s="13">
        <v>0</v>
      </c>
      <c r="K881" s="14" t="str">
        <f>HYPERLINK("http://twitter.com/download/iphone","Twitter for iPhone")</f>
        <v>Twitter for iPhone</v>
      </c>
      <c r="L881" s="13">
        <v>187</v>
      </c>
      <c r="M881" s="13">
        <v>301</v>
      </c>
      <c r="N881" s="13">
        <v>0</v>
      </c>
      <c r="O881" s="15"/>
      <c r="P881" s="6">
        <v>43284.758842592593</v>
      </c>
      <c r="Q881" s="16" t="s">
        <v>587</v>
      </c>
      <c r="R881" s="17" t="s">
        <v>3129</v>
      </c>
      <c r="S881" s="12"/>
      <c r="T881" s="12"/>
      <c r="U881" s="10" t="str">
        <f>HYPERLINK("https://pbs.twimg.com/profile_images/1065664208388456458/ySf0syG8.jpg","View")</f>
        <v>View</v>
      </c>
    </row>
    <row r="882" spans="1:21" ht="20.399999999999999">
      <c r="A882" s="6">
        <v>43439.428576388891</v>
      </c>
      <c r="B882" s="7" t="str">
        <f>HYPERLINK("https://twitter.com/ESCUPELOYACOM","@ESCUPELOYACOM")</f>
        <v>@ESCUPELOYACOM</v>
      </c>
      <c r="C882" s="8" t="s">
        <v>3130</v>
      </c>
      <c r="D882" s="9" t="s">
        <v>3131</v>
      </c>
      <c r="E882" s="10" t="str">
        <f>HYPERLINK("https://twitter.com/ESCUPELOYACOM/status/1070245682286600192","1070245682286600192")</f>
        <v>1070245682286600192</v>
      </c>
      <c r="F882" s="11" t="s">
        <v>2917</v>
      </c>
      <c r="G882" s="12"/>
      <c r="H882" s="12"/>
      <c r="I882" s="13">
        <v>0</v>
      </c>
      <c r="J882" s="13">
        <v>0</v>
      </c>
      <c r="K882" s="14" t="str">
        <f>HYPERLINK("http://twitter.com","Twitter Web Client")</f>
        <v>Twitter Web Client</v>
      </c>
      <c r="L882" s="13">
        <v>3985</v>
      </c>
      <c r="M882" s="13">
        <v>4512</v>
      </c>
      <c r="N882" s="13">
        <v>104</v>
      </c>
      <c r="O882" s="15"/>
      <c r="P882" s="6">
        <v>40966.613530092596</v>
      </c>
      <c r="Q882" s="16" t="s">
        <v>587</v>
      </c>
      <c r="R882" s="17" t="s">
        <v>3132</v>
      </c>
      <c r="S882" s="12"/>
      <c r="T882" s="12"/>
      <c r="U882" s="10" t="str">
        <f>HYPERLINK("https://pbs.twimg.com/profile_images/1857667710/escupelo_ya_peque.jpg","View")</f>
        <v>View</v>
      </c>
    </row>
    <row r="883" spans="1:21" ht="20.399999999999999">
      <c r="A883" s="6">
        <v>43439.427118055552</v>
      </c>
      <c r="B883" s="7" t="str">
        <f>HYPERLINK("https://twitter.com/teodelacalle","@teodelacalle")</f>
        <v>@teodelacalle</v>
      </c>
      <c r="C883" s="8" t="s">
        <v>3135</v>
      </c>
      <c r="D883" s="9" t="s">
        <v>3136</v>
      </c>
      <c r="E883" s="10" t="str">
        <f>HYPERLINK("https://twitter.com/teodelacalle/status/1070245153774977024","1070245153774977024")</f>
        <v>1070245153774977024</v>
      </c>
      <c r="F883" s="11" t="s">
        <v>3137</v>
      </c>
      <c r="G883" s="12"/>
      <c r="H883" s="12"/>
      <c r="I883" s="13">
        <v>0</v>
      </c>
      <c r="J883" s="13">
        <v>0</v>
      </c>
      <c r="K883" s="14" t="str">
        <f>HYPERLINK("https://www.hootsuite.com","Hootsuite Inc.")</f>
        <v>Hootsuite Inc.</v>
      </c>
      <c r="L883" s="13">
        <v>851</v>
      </c>
      <c r="M883" s="13">
        <v>1652</v>
      </c>
      <c r="N883" s="13">
        <v>15</v>
      </c>
      <c r="O883" s="15"/>
      <c r="P883" s="6">
        <v>40881.670891203699</v>
      </c>
      <c r="Q883" s="16" t="s">
        <v>3138</v>
      </c>
      <c r="R883" s="17" t="s">
        <v>3139</v>
      </c>
      <c r="S883" s="12"/>
      <c r="T883" s="12"/>
      <c r="U883" s="10" t="str">
        <f>HYPERLINK("https://pbs.twimg.com/profile_images/481666283574804480/HvmXs-xd.jpeg","View")</f>
        <v>View</v>
      </c>
    </row>
    <row r="884" spans="1:21" ht="40.799999999999997">
      <c r="A884" s="6">
        <v>43439.426192129627</v>
      </c>
      <c r="B884" s="7" t="str">
        <f>HYPERLINK("https://twitter.com/RaquelAbeledo","@RaquelAbeledo")</f>
        <v>@RaquelAbeledo</v>
      </c>
      <c r="C884" s="8" t="s">
        <v>3140</v>
      </c>
      <c r="D884" s="9" t="s">
        <v>3141</v>
      </c>
      <c r="E884" s="10" t="str">
        <f>HYPERLINK("https://twitter.com/RaquelAbeledo/status/1070244819996422150","1070244819996422150")</f>
        <v>1070244819996422150</v>
      </c>
      <c r="F884" s="11" t="s">
        <v>2917</v>
      </c>
      <c r="G884" s="12"/>
      <c r="H884" s="12"/>
      <c r="I884" s="13">
        <v>0</v>
      </c>
      <c r="J884" s="13">
        <v>0</v>
      </c>
      <c r="K884" s="14" t="str">
        <f>HYPERLINK("http://twitter.com/download/iphone","Twitter for iPhone")</f>
        <v>Twitter for iPhone</v>
      </c>
      <c r="L884" s="13">
        <v>590</v>
      </c>
      <c r="M884" s="13">
        <v>1399</v>
      </c>
      <c r="N884" s="13">
        <v>19</v>
      </c>
      <c r="O884" s="15"/>
      <c r="P884" s="6">
        <v>40362.982453703706</v>
      </c>
      <c r="Q884" s="16" t="s">
        <v>3142</v>
      </c>
      <c r="R884" s="17" t="s">
        <v>3143</v>
      </c>
      <c r="S884" s="11" t="s">
        <v>3144</v>
      </c>
      <c r="T884" s="12"/>
      <c r="U884" s="10" t="str">
        <f>HYPERLINK("https://pbs.twimg.com/profile_images/769866480053780480/5jqH8ZMh.jpg","View")</f>
        <v>View</v>
      </c>
    </row>
    <row r="885" spans="1:21" ht="40.799999999999997">
      <c r="A885" s="6">
        <v>43439.422268518523</v>
      </c>
      <c r="B885" s="7" t="str">
        <f>HYPERLINK("https://twitter.com/obloque","@obloque")</f>
        <v>@obloque</v>
      </c>
      <c r="C885" s="8" t="s">
        <v>3145</v>
      </c>
      <c r="D885" s="9" t="s">
        <v>3146</v>
      </c>
      <c r="E885" s="10" t="str">
        <f>HYPERLINK("https://twitter.com/obloque/status/1070243395979878401","1070243395979878401")</f>
        <v>1070243395979878401</v>
      </c>
      <c r="F885" s="12"/>
      <c r="G885" s="11" t="s">
        <v>3147</v>
      </c>
      <c r="H885" s="12"/>
      <c r="I885" s="13">
        <v>8</v>
      </c>
      <c r="J885" s="13">
        <v>10</v>
      </c>
      <c r="K885" s="14" t="str">
        <f>HYPERLINK("https://about.twitter.com/products/tweetdeck","TweetDeck")</f>
        <v>TweetDeck</v>
      </c>
      <c r="L885" s="13">
        <v>36287</v>
      </c>
      <c r="M885" s="13">
        <v>6248</v>
      </c>
      <c r="N885" s="13">
        <v>427</v>
      </c>
      <c r="O885" s="19" t="s">
        <v>44</v>
      </c>
      <c r="P885" s="6">
        <v>40343.609305555554</v>
      </c>
      <c r="Q885" s="16" t="s">
        <v>500</v>
      </c>
      <c r="R885" s="17" t="s">
        <v>3148</v>
      </c>
      <c r="S885" s="11" t="s">
        <v>3149</v>
      </c>
      <c r="T885" s="12"/>
      <c r="U885" s="10" t="str">
        <f>HYPERLINK("https://pbs.twimg.com/profile_images/1013671225678233605/fGQEhyqq.jpg","View")</f>
        <v>View</v>
      </c>
    </row>
    <row r="886" spans="1:21" ht="71.400000000000006">
      <c r="A886" s="6">
        <v>43439.421481481477</v>
      </c>
      <c r="B886" s="7" t="str">
        <f>HYPERLINK("https://twitter.com/abuelocorajexad","@abuelocorajexad")</f>
        <v>@abuelocorajexad</v>
      </c>
      <c r="C886" s="8" t="s">
        <v>3150</v>
      </c>
      <c r="D886" s="9" t="s">
        <v>3151</v>
      </c>
      <c r="E886" s="10" t="str">
        <f>HYPERLINK("https://twitter.com/abuelocorajexad/status/1070243111312482304","1070243111312482304")</f>
        <v>1070243111312482304</v>
      </c>
      <c r="F886" s="12"/>
      <c r="G886" s="12"/>
      <c r="H886" s="12"/>
      <c r="I886" s="13">
        <v>0</v>
      </c>
      <c r="J886" s="13">
        <v>0</v>
      </c>
      <c r="K886" s="14" t="str">
        <f>HYPERLINK("http://twitter.com","Twitter Web Client")</f>
        <v>Twitter Web Client</v>
      </c>
      <c r="L886" s="13">
        <v>1032</v>
      </c>
      <c r="M886" s="13">
        <v>898</v>
      </c>
      <c r="N886" s="13">
        <v>1</v>
      </c>
      <c r="O886" s="15"/>
      <c r="P886" s="6">
        <v>42829.474699074075</v>
      </c>
      <c r="Q886" s="12"/>
      <c r="R886" s="20"/>
      <c r="S886" s="12"/>
      <c r="T886" s="12"/>
      <c r="U886" s="10" t="str">
        <f>HYPERLINK("https://pbs.twimg.com/profile_images/849193986698903552/tuuCfEhR.jpg","View")</f>
        <v>View</v>
      </c>
    </row>
    <row r="887" spans="1:21" ht="40.799999999999997">
      <c r="A887" s="6">
        <v>43439.419953703706</v>
      </c>
      <c r="B887" s="7" t="str">
        <f>HYPERLINK("https://twitter.com/Libertad_Org","@Libertad_Org")</f>
        <v>@Libertad_Org</v>
      </c>
      <c r="C887" s="8" t="s">
        <v>3152</v>
      </c>
      <c r="D887" s="9" t="s">
        <v>3153</v>
      </c>
      <c r="E887" s="10" t="str">
        <f>HYPERLINK("https://twitter.com/Libertad_Org/status/1070242559308562432","1070242559308562432")</f>
        <v>1070242559308562432</v>
      </c>
      <c r="F887" s="11" t="s">
        <v>3154</v>
      </c>
      <c r="G887" s="12"/>
      <c r="H887" s="12"/>
      <c r="I887" s="13">
        <v>0</v>
      </c>
      <c r="J887" s="13">
        <v>0</v>
      </c>
      <c r="K887" s="14" t="str">
        <f>HYPERLINK("https://ifttt.com","IFTTT")</f>
        <v>IFTTT</v>
      </c>
      <c r="L887" s="13">
        <v>64</v>
      </c>
      <c r="M887" s="13">
        <v>5</v>
      </c>
      <c r="N887" s="13">
        <v>3</v>
      </c>
      <c r="O887" s="15"/>
      <c r="P887" s="6">
        <v>42408.703611111108</v>
      </c>
      <c r="Q887" s="12"/>
      <c r="R887" s="20"/>
      <c r="S887" s="12"/>
      <c r="T887" s="12"/>
      <c r="U887" s="10" t="str">
        <f>HYPERLINK("https://pbs.twimg.com/profile_images/696724312582176768/nwfGYFE5.png","View")</f>
        <v>View</v>
      </c>
    </row>
    <row r="888" spans="1:21" ht="20.399999999999999">
      <c r="A888" s="6">
        <v>43439.415266203709</v>
      </c>
      <c r="B888" s="7" t="str">
        <f>HYPERLINK("https://twitter.com/DonPreguntn1","@DonPreguntn1")</f>
        <v>@DonPreguntn1</v>
      </c>
      <c r="C888" s="8" t="s">
        <v>3155</v>
      </c>
      <c r="D888" s="9" t="s">
        <v>3156</v>
      </c>
      <c r="E888" s="10" t="str">
        <f>HYPERLINK("https://twitter.com/DonPreguntn1/status/1070240859898241025","1070240859898241025")</f>
        <v>1070240859898241025</v>
      </c>
      <c r="F888" s="12"/>
      <c r="G888" s="12"/>
      <c r="H888" s="12"/>
      <c r="I888" s="13">
        <v>1</v>
      </c>
      <c r="J888" s="13">
        <v>1</v>
      </c>
      <c r="K888" s="14" t="str">
        <f>HYPERLINK("https://mobile.twitter.com","Twitter Lite")</f>
        <v>Twitter Lite</v>
      </c>
      <c r="L888" s="13">
        <v>97</v>
      </c>
      <c r="M888" s="13">
        <v>245</v>
      </c>
      <c r="N888" s="13">
        <v>0</v>
      </c>
      <c r="O888" s="15"/>
      <c r="P888" s="6">
        <v>43382.326238425929</v>
      </c>
      <c r="Q888" s="12"/>
      <c r="R888" s="17" t="s">
        <v>3157</v>
      </c>
      <c r="S888" s="12"/>
      <c r="T888" s="12"/>
      <c r="U888" s="10" t="str">
        <f>HYPERLINK("https://pbs.twimg.com/profile_images/1049550711153938437/dGufAa2D.jpg","View")</f>
        <v>View</v>
      </c>
    </row>
    <row r="889" spans="1:21" ht="40.799999999999997">
      <c r="A889" s="6">
        <v>43439.415266203709</v>
      </c>
      <c r="B889" s="7" t="str">
        <f>HYPERLINK("https://twitter.com/CristinaSegui_","@CristinaSegui_")</f>
        <v>@CristinaSegui_</v>
      </c>
      <c r="C889" s="8" t="s">
        <v>3158</v>
      </c>
      <c r="D889" s="9" t="s">
        <v>3159</v>
      </c>
      <c r="E889" s="10" t="str">
        <f>HYPERLINK("https://twitter.com/CristinaSegui_/status/1070240858887348224","1070240858887348224")</f>
        <v>1070240858887348224</v>
      </c>
      <c r="F889" s="11" t="s">
        <v>2917</v>
      </c>
      <c r="G889" s="12"/>
      <c r="H889" s="12"/>
      <c r="I889" s="13">
        <v>18</v>
      </c>
      <c r="J889" s="13">
        <v>43</v>
      </c>
      <c r="K889" s="14" t="str">
        <f>HYPERLINK("http://twitter.com","Twitter Web Client")</f>
        <v>Twitter Web Client</v>
      </c>
      <c r="L889" s="13">
        <v>89362</v>
      </c>
      <c r="M889" s="13">
        <v>997</v>
      </c>
      <c r="N889" s="13">
        <v>769</v>
      </c>
      <c r="O889" s="19" t="s">
        <v>44</v>
      </c>
      <c r="P889" s="6">
        <v>40122.486296296294</v>
      </c>
      <c r="Q889" s="16" t="s">
        <v>48</v>
      </c>
      <c r="R889" s="17" t="s">
        <v>3160</v>
      </c>
      <c r="S889" s="11" t="s">
        <v>3161</v>
      </c>
      <c r="T889" s="12"/>
      <c r="U889" s="10" t="str">
        <f>HYPERLINK("https://pbs.twimg.com/profile_images/1065733574429618176/d61ymE2n.jpg","View")</f>
        <v>View</v>
      </c>
    </row>
    <row r="890" spans="1:21" ht="30.6">
      <c r="A890" s="6">
        <v>43439.406168981484</v>
      </c>
      <c r="B890" s="7" t="str">
        <f>HYPERLINK("https://twitter.com/periodicovzlano","@periodicovzlano")</f>
        <v>@periodicovzlano</v>
      </c>
      <c r="C890" s="8" t="s">
        <v>2671</v>
      </c>
      <c r="D890" s="9" t="s">
        <v>2672</v>
      </c>
      <c r="E890" s="10" t="str">
        <f>HYPERLINK("https://twitter.com/periodicovzlano/status/1070237560096595968","1070237560096595968")</f>
        <v>1070237560096595968</v>
      </c>
      <c r="F890" s="11" t="s">
        <v>2673</v>
      </c>
      <c r="G890" s="11" t="s">
        <v>3163</v>
      </c>
      <c r="H890" s="12"/>
      <c r="I890" s="13">
        <v>0</v>
      </c>
      <c r="J890" s="13">
        <v>0</v>
      </c>
      <c r="K890" s="14" t="str">
        <f>HYPERLINK("http://epmundo.com","Tuiteo TOP EP (1)")</f>
        <v>Tuiteo TOP EP (1)</v>
      </c>
      <c r="L890" s="13">
        <v>479694</v>
      </c>
      <c r="M890" s="13">
        <v>358804</v>
      </c>
      <c r="N890" s="13">
        <v>1295</v>
      </c>
      <c r="O890" s="15"/>
      <c r="P890" s="6">
        <v>40663.3512962963</v>
      </c>
      <c r="Q890" s="16" t="s">
        <v>861</v>
      </c>
      <c r="R890" s="17" t="s">
        <v>2675</v>
      </c>
      <c r="S890" s="11" t="s">
        <v>2676</v>
      </c>
      <c r="T890" s="12"/>
      <c r="U890" s="10" t="str">
        <f>HYPERLINK("https://pbs.twimg.com/profile_images/958328579250638849/MCz7Q8U6.jpg","View")</f>
        <v>View</v>
      </c>
    </row>
    <row r="891" spans="1:21" ht="20.399999999999999">
      <c r="A891" s="6">
        <v>43439.400034722217</v>
      </c>
      <c r="B891" s="7" t="str">
        <f>HYPERLINK("https://twitter.com/ppapanol","@ppapanol")</f>
        <v>@ppapanol</v>
      </c>
      <c r="C891" s="8" t="s">
        <v>3164</v>
      </c>
      <c r="D891" s="9" t="s">
        <v>3063</v>
      </c>
      <c r="E891" s="10" t="str">
        <f>HYPERLINK("https://twitter.com/ppapanol/status/1070235338885554176","1070235338885554176")</f>
        <v>1070235338885554176</v>
      </c>
      <c r="F891" s="11" t="s">
        <v>2917</v>
      </c>
      <c r="G891" s="12"/>
      <c r="H891" s="12"/>
      <c r="I891" s="13">
        <v>1</v>
      </c>
      <c r="J891" s="13">
        <v>1</v>
      </c>
      <c r="K891" s="14" t="str">
        <f>HYPERLINK("http://twitter.com/download/iphone","Twitter for iPhone")</f>
        <v>Twitter for iPhone</v>
      </c>
      <c r="L891" s="13">
        <v>2046</v>
      </c>
      <c r="M891" s="13">
        <v>4751</v>
      </c>
      <c r="N891" s="13">
        <v>14</v>
      </c>
      <c r="O891" s="15"/>
      <c r="P891" s="6">
        <v>42334.543576388889</v>
      </c>
      <c r="Q891" s="12"/>
      <c r="R891" s="20"/>
      <c r="S891" s="11" t="s">
        <v>3165</v>
      </c>
      <c r="T891" s="12"/>
      <c r="U891" s="10" t="str">
        <f>HYPERLINK("https://pbs.twimg.com/profile_images/669857784943497216/RABWZZ4G.jpg","View")</f>
        <v>View</v>
      </c>
    </row>
    <row r="892" spans="1:21" ht="20.399999999999999">
      <c r="A892" s="6">
        <v>43439.395833333328</v>
      </c>
      <c r="B892" s="7" t="str">
        <f>HYPERLINK("https://twitter.com/ideal_jaen","@ideal_jaen")</f>
        <v>@ideal_jaen</v>
      </c>
      <c r="C892" s="8" t="s">
        <v>3166</v>
      </c>
      <c r="D892" s="9" t="s">
        <v>3167</v>
      </c>
      <c r="E892" s="10" t="str">
        <f>HYPERLINK("https://twitter.com/ideal_jaen/status/1070233816474673153","1070233816474673153")</f>
        <v>1070233816474673153</v>
      </c>
      <c r="F892" s="11" t="s">
        <v>3168</v>
      </c>
      <c r="G892" s="12"/>
      <c r="H892" s="12"/>
      <c r="I892" s="13">
        <v>0</v>
      </c>
      <c r="J892" s="13">
        <v>0</v>
      </c>
      <c r="K892" s="14" t="str">
        <f>HYPERLINK("https://about.twitter.com/products/tweetdeck","TweetDeck")</f>
        <v>TweetDeck</v>
      </c>
      <c r="L892" s="13">
        <v>20035</v>
      </c>
      <c r="M892" s="13">
        <v>400</v>
      </c>
      <c r="N892" s="13">
        <v>349</v>
      </c>
      <c r="O892" s="19" t="s">
        <v>44</v>
      </c>
      <c r="P892" s="6">
        <v>40443.463738425926</v>
      </c>
      <c r="Q892" s="16" t="s">
        <v>3169</v>
      </c>
      <c r="R892" s="17" t="s">
        <v>3170</v>
      </c>
      <c r="S892" s="11" t="s">
        <v>3171</v>
      </c>
      <c r="T892" s="12"/>
      <c r="U892" s="10" t="str">
        <f>HYPERLINK("https://pbs.twimg.com/profile_images/875627115365806080/1i1e8Euc.jpg","View")</f>
        <v>View</v>
      </c>
    </row>
    <row r="893" spans="1:21" ht="20.399999999999999">
      <c r="A893" s="6">
        <v>43439.395173611112</v>
      </c>
      <c r="B893" s="7" t="str">
        <f>HYPERLINK("https://twitter.com/hopedsy","@hopedsy")</f>
        <v>@hopedsy</v>
      </c>
      <c r="C893" s="8" t="s">
        <v>3172</v>
      </c>
      <c r="D893" s="9" t="s">
        <v>2949</v>
      </c>
      <c r="E893" s="10" t="str">
        <f>HYPERLINK("https://twitter.com/hopedsy/status/1070233578712244224","1070233578712244224")</f>
        <v>1070233578712244224</v>
      </c>
      <c r="F893" s="11" t="s">
        <v>2917</v>
      </c>
      <c r="G893" s="12"/>
      <c r="H893" s="12"/>
      <c r="I893" s="13">
        <v>0</v>
      </c>
      <c r="J893" s="13">
        <v>0</v>
      </c>
      <c r="K893" s="14" t="str">
        <f t="shared" ref="K893:K894" si="160">HYPERLINK("http://twitter.com/download/android","Twitter for Android")</f>
        <v>Twitter for Android</v>
      </c>
      <c r="L893" s="13">
        <v>407</v>
      </c>
      <c r="M893" s="13">
        <v>569</v>
      </c>
      <c r="N893" s="13">
        <v>15</v>
      </c>
      <c r="O893" s="15"/>
      <c r="P893" s="6">
        <v>42568.50172453704</v>
      </c>
      <c r="Q893" s="12"/>
      <c r="R893" s="17" t="s">
        <v>3173</v>
      </c>
      <c r="S893" s="12"/>
      <c r="T893" s="12"/>
      <c r="U893" s="10" t="str">
        <f>HYPERLINK("https://pbs.twimg.com/profile_images/814237291229147136/bJPBbvoq.jpg","View")</f>
        <v>View</v>
      </c>
    </row>
    <row r="894" spans="1:21" ht="40.799999999999997">
      <c r="A894" s="6">
        <v>43439.393993055557</v>
      </c>
      <c r="B894" s="7" t="str">
        <f>HYPERLINK("https://twitter.com/euroberri","@euroberri")</f>
        <v>@euroberri</v>
      </c>
      <c r="C894" s="8" t="s">
        <v>3174</v>
      </c>
      <c r="D894" s="9" t="s">
        <v>2949</v>
      </c>
      <c r="E894" s="10" t="str">
        <f>HYPERLINK("https://twitter.com/euroberri/status/1070233148502495232","1070233148502495232")</f>
        <v>1070233148502495232</v>
      </c>
      <c r="F894" s="11" t="s">
        <v>2917</v>
      </c>
      <c r="G894" s="12"/>
      <c r="H894" s="12"/>
      <c r="I894" s="13">
        <v>0</v>
      </c>
      <c r="J894" s="13">
        <v>0</v>
      </c>
      <c r="K894" s="14" t="str">
        <f t="shared" si="160"/>
        <v>Twitter for Android</v>
      </c>
      <c r="L894" s="13">
        <v>2192</v>
      </c>
      <c r="M894" s="13">
        <v>5001</v>
      </c>
      <c r="N894" s="13">
        <v>78</v>
      </c>
      <c r="O894" s="15"/>
      <c r="P894" s="6">
        <v>40147.767974537041</v>
      </c>
      <c r="Q894" s="16" t="s">
        <v>3175</v>
      </c>
      <c r="R894" s="17" t="s">
        <v>3176</v>
      </c>
      <c r="S894" s="11" t="s">
        <v>3177</v>
      </c>
      <c r="T894" s="12"/>
      <c r="U894" s="10" t="str">
        <f>HYPERLINK("https://pbs.twimg.com/profile_images/1065361083203010566/vhLryHe3.jpg","View")</f>
        <v>View</v>
      </c>
    </row>
    <row r="895" spans="1:21" ht="40.799999999999997">
      <c r="A895" s="6">
        <v>43439.393483796295</v>
      </c>
      <c r="B895" s="7" t="str">
        <f>HYPERLINK("https://twitter.com/David_dhi","@David_dhi")</f>
        <v>@David_dhi</v>
      </c>
      <c r="C895" s="8" t="s">
        <v>3178</v>
      </c>
      <c r="D895" s="9" t="s">
        <v>3179</v>
      </c>
      <c r="E895" s="10" t="str">
        <f>HYPERLINK("https://twitter.com/David_dhi/status/1070232963772755968","1070232963772755968")</f>
        <v>1070232963772755968</v>
      </c>
      <c r="F895" s="11" t="s">
        <v>3180</v>
      </c>
      <c r="G895" s="12"/>
      <c r="H895" s="12"/>
      <c r="I895" s="13">
        <v>0</v>
      </c>
      <c r="J895" s="13">
        <v>1</v>
      </c>
      <c r="K895" s="14" t="str">
        <f t="shared" ref="K895:K898" si="161">HYPERLINK("http://twitter.com","Twitter Web Client")</f>
        <v>Twitter Web Client</v>
      </c>
      <c r="L895" s="13">
        <v>443</v>
      </c>
      <c r="M895" s="13">
        <v>387</v>
      </c>
      <c r="N895" s="13">
        <v>6</v>
      </c>
      <c r="O895" s="15"/>
      <c r="P895" s="6">
        <v>40982.686712962961</v>
      </c>
      <c r="Q895" s="16" t="s">
        <v>3181</v>
      </c>
      <c r="R895" s="17" t="s">
        <v>3182</v>
      </c>
      <c r="S895" s="12"/>
      <c r="T895" s="12"/>
      <c r="U895" s="10" t="str">
        <f>HYPERLINK("https://pbs.twimg.com/profile_images/1010878830482001920/zjoL72wr.jpg","View")</f>
        <v>View</v>
      </c>
    </row>
    <row r="896" spans="1:21" ht="51">
      <c r="A896" s="6">
        <v>43439.39334490741</v>
      </c>
      <c r="B896" s="7" t="str">
        <f>HYPERLINK("https://twitter.com/RosaGPayo","@RosaGPayo")</f>
        <v>@RosaGPayo</v>
      </c>
      <c r="C896" s="8" t="s">
        <v>3183</v>
      </c>
      <c r="D896" s="9" t="s">
        <v>3184</v>
      </c>
      <c r="E896" s="10" t="str">
        <f>HYPERLINK("https://twitter.com/RosaGPayo/status/1070232915496370176","1070232915496370176")</f>
        <v>1070232915496370176</v>
      </c>
      <c r="F896" s="11" t="s">
        <v>3185</v>
      </c>
      <c r="G896" s="12"/>
      <c r="H896" s="12"/>
      <c r="I896" s="13">
        <v>1</v>
      </c>
      <c r="J896" s="13">
        <v>0</v>
      </c>
      <c r="K896" s="14" t="str">
        <f t="shared" si="161"/>
        <v>Twitter Web Client</v>
      </c>
      <c r="L896" s="13">
        <v>1080</v>
      </c>
      <c r="M896" s="13">
        <v>787</v>
      </c>
      <c r="N896" s="13">
        <v>72</v>
      </c>
      <c r="O896" s="15"/>
      <c r="P896" s="6">
        <v>41558.517881944441</v>
      </c>
      <c r="Q896" s="12"/>
      <c r="R896" s="17" t="s">
        <v>3186</v>
      </c>
      <c r="S896" s="12"/>
      <c r="T896" s="12"/>
      <c r="U896" s="10" t="str">
        <f>HYPERLINK("https://pbs.twimg.com/profile_images/378800000579543300/200ac7035b4378b7649ca0071d2f9cdc.jpeg","View")</f>
        <v>View</v>
      </c>
    </row>
    <row r="897" spans="1:21" ht="71.400000000000006">
      <c r="A897" s="6">
        <v>43439.391724537039</v>
      </c>
      <c r="B897" s="7" t="str">
        <f>HYPERLINK("https://twitter.com/Lifante5","@Lifante5")</f>
        <v>@Lifante5</v>
      </c>
      <c r="C897" s="8" t="s">
        <v>3188</v>
      </c>
      <c r="D897" s="9" t="s">
        <v>3189</v>
      </c>
      <c r="E897" s="10" t="str">
        <f>HYPERLINK("https://twitter.com/Lifante5/status/1070232326406373376","1070232326406373376")</f>
        <v>1070232326406373376</v>
      </c>
      <c r="F897" s="16" t="s">
        <v>3190</v>
      </c>
      <c r="G897" s="12"/>
      <c r="H897" s="12"/>
      <c r="I897" s="13">
        <v>0</v>
      </c>
      <c r="J897" s="13">
        <v>0</v>
      </c>
      <c r="K897" s="14" t="str">
        <f t="shared" si="161"/>
        <v>Twitter Web Client</v>
      </c>
      <c r="L897" s="13">
        <v>369</v>
      </c>
      <c r="M897" s="13">
        <v>292</v>
      </c>
      <c r="N897" s="13">
        <v>0</v>
      </c>
      <c r="O897" s="15"/>
      <c r="P897" s="6">
        <v>43381.767442129625</v>
      </c>
      <c r="Q897" s="12"/>
      <c r="R897" s="17" t="s">
        <v>3191</v>
      </c>
      <c r="S897" s="12"/>
      <c r="T897" s="12"/>
      <c r="U897" s="10" t="str">
        <f>HYPERLINK("https://pbs.twimg.com/profile_images/1063480665784680448/WMi163me.jpg","View")</f>
        <v>View</v>
      </c>
    </row>
    <row r="898" spans="1:21" ht="30.6">
      <c r="A898" s="6">
        <v>43439.391469907408</v>
      </c>
      <c r="B898" s="7" t="str">
        <f>HYPERLINK("https://twitter.com/marianofake","@marianofake")</f>
        <v>@marianofake</v>
      </c>
      <c r="C898" s="8" t="s">
        <v>1715</v>
      </c>
      <c r="D898" s="9" t="s">
        <v>3192</v>
      </c>
      <c r="E898" s="10" t="str">
        <f>HYPERLINK("https://twitter.com/marianofake/status/1070232236862177281","1070232236862177281")</f>
        <v>1070232236862177281</v>
      </c>
      <c r="F898" s="12"/>
      <c r="G898" s="12"/>
      <c r="H898" s="12"/>
      <c r="I898" s="13">
        <v>8</v>
      </c>
      <c r="J898" s="13">
        <v>21</v>
      </c>
      <c r="K898" s="14" t="str">
        <f t="shared" si="161"/>
        <v>Twitter Web Client</v>
      </c>
      <c r="L898" s="13">
        <v>6144</v>
      </c>
      <c r="M898" s="13">
        <v>3153</v>
      </c>
      <c r="N898" s="13">
        <v>19</v>
      </c>
      <c r="O898" s="15"/>
      <c r="P898" s="6">
        <v>42101.675752314812</v>
      </c>
      <c r="Q898" s="12"/>
      <c r="R898" s="17" t="s">
        <v>1721</v>
      </c>
      <c r="S898" s="12"/>
      <c r="T898" s="12"/>
      <c r="U898" s="10" t="str">
        <f>HYPERLINK("https://pbs.twimg.com/profile_images/865123852795367424/p4pK2M21.jpg","View")</f>
        <v>View</v>
      </c>
    </row>
    <row r="899" spans="1:21" ht="20.399999999999999">
      <c r="A899" s="6">
        <v>43439.388344907406</v>
      </c>
      <c r="B899" s="7" t="str">
        <f>HYPERLINK("https://twitter.com/Berrybar_es","@Berrybar_es")</f>
        <v>@Berrybar_es</v>
      </c>
      <c r="C899" s="8" t="s">
        <v>3193</v>
      </c>
      <c r="D899" s="9" t="s">
        <v>3194</v>
      </c>
      <c r="E899" s="10" t="str">
        <f>HYPERLINK("https://twitter.com/Berrybar_es/status/1070231102609068032","1070231102609068032")</f>
        <v>1070231102609068032</v>
      </c>
      <c r="F899" s="11" t="s">
        <v>3195</v>
      </c>
      <c r="G899" s="12"/>
      <c r="H899" s="12"/>
      <c r="I899" s="13">
        <v>0</v>
      </c>
      <c r="J899" s="13">
        <v>0</v>
      </c>
      <c r="K899" s="14" t="str">
        <f>HYPERLINK("http://twitter.com/download/android","Twitter for Android")</f>
        <v>Twitter for Android</v>
      </c>
      <c r="L899" s="13">
        <v>147</v>
      </c>
      <c r="M899" s="13">
        <v>151</v>
      </c>
      <c r="N899" s="13">
        <v>0</v>
      </c>
      <c r="O899" s="15"/>
      <c r="P899" s="6">
        <v>42796.530833333338</v>
      </c>
      <c r="Q899" s="12"/>
      <c r="R899" s="17" t="s">
        <v>3196</v>
      </c>
      <c r="S899" s="12"/>
      <c r="T899" s="12"/>
      <c r="U899" s="10" t="str">
        <f>HYPERLINK("https://pbs.twimg.com/profile_images/852636774505566208/vWQw-Se2.jpg","View")</f>
        <v>View</v>
      </c>
    </row>
    <row r="900" spans="1:21" ht="51">
      <c r="A900" s="6">
        <v>43439.38658564815</v>
      </c>
      <c r="B900" s="7" t="str">
        <f>HYPERLINK("https://twitter.com/pnique","@pnique")</f>
        <v>@pnique</v>
      </c>
      <c r="C900" s="8" t="s">
        <v>3197</v>
      </c>
      <c r="D900" s="9" t="s">
        <v>3198</v>
      </c>
      <c r="E900" s="10" t="str">
        <f>HYPERLINK("https://twitter.com/pnique/status/1070230466425446400","1070230466425446400")</f>
        <v>1070230466425446400</v>
      </c>
      <c r="F900" s="11" t="s">
        <v>3199</v>
      </c>
      <c r="G900" s="12"/>
      <c r="H900" s="12"/>
      <c r="I900" s="13">
        <v>435</v>
      </c>
      <c r="J900" s="13">
        <v>589</v>
      </c>
      <c r="K900" s="14" t="str">
        <f>HYPERLINK("https://buffer.com","Buffer")</f>
        <v>Buffer</v>
      </c>
      <c r="L900" s="13">
        <v>436333</v>
      </c>
      <c r="M900" s="13">
        <v>2008</v>
      </c>
      <c r="N900" s="13">
        <v>2575</v>
      </c>
      <c r="O900" s="19" t="s">
        <v>44</v>
      </c>
      <c r="P900" s="6">
        <v>39892.83662037037</v>
      </c>
      <c r="Q900" s="16" t="s">
        <v>48</v>
      </c>
      <c r="R900" s="17" t="s">
        <v>3200</v>
      </c>
      <c r="S900" s="11" t="s">
        <v>3201</v>
      </c>
      <c r="T900" s="12"/>
      <c r="U900" s="10" t="str">
        <f>HYPERLINK("https://pbs.twimg.com/profile_images/1070780574745399296/5T04IF-m.jpg","View")</f>
        <v>View</v>
      </c>
    </row>
    <row r="901" spans="1:21" ht="51">
      <c r="A901" s="6">
        <v>43439.385844907403</v>
      </c>
      <c r="B901" s="7" t="str">
        <f>HYPERLINK("https://twitter.com/camachofj714","@camachofj714")</f>
        <v>@camachofj714</v>
      </c>
      <c r="C901" s="8" t="s">
        <v>3202</v>
      </c>
      <c r="D901" s="9" t="s">
        <v>3203</v>
      </c>
      <c r="E901" s="10" t="str">
        <f>HYPERLINK("https://twitter.com/camachofj714/status/1070230198291972096","1070230198291972096")</f>
        <v>1070230198291972096</v>
      </c>
      <c r="F901" s="11" t="s">
        <v>2653</v>
      </c>
      <c r="G901" s="12"/>
      <c r="H901" s="12"/>
      <c r="I901" s="13">
        <v>0</v>
      </c>
      <c r="J901" s="13">
        <v>0</v>
      </c>
      <c r="K901" s="14" t="str">
        <f t="shared" ref="K901:K902" si="162">HYPERLINK("http://twitter.com","Twitter Web Client")</f>
        <v>Twitter Web Client</v>
      </c>
      <c r="L901" s="13">
        <v>3212</v>
      </c>
      <c r="M901" s="13">
        <v>3268</v>
      </c>
      <c r="N901" s="13">
        <v>38</v>
      </c>
      <c r="O901" s="15"/>
      <c r="P901" s="6">
        <v>40795.987534722226</v>
      </c>
      <c r="Q901" s="12"/>
      <c r="R901" s="17" t="s">
        <v>3204</v>
      </c>
      <c r="S901" s="12"/>
      <c r="T901" s="12"/>
      <c r="U901" s="10" t="str">
        <f>HYPERLINK("https://pbs.twimg.com/profile_images/452912409544781824/jxbI8Fex.jpeg","View")</f>
        <v>View</v>
      </c>
    </row>
    <row r="902" spans="1:21" ht="40.799999999999997">
      <c r="A902" s="6">
        <v>43439.382233796292</v>
      </c>
      <c r="B902" s="7" t="str">
        <f>HYPERLINK("https://twitter.com/ElMundoEspana","@ElMundoEspana")</f>
        <v>@ElMundoEspana</v>
      </c>
      <c r="C902" s="8" t="s">
        <v>360</v>
      </c>
      <c r="D902" s="9" t="s">
        <v>2916</v>
      </c>
      <c r="E902" s="10" t="str">
        <f>HYPERLINK("https://twitter.com/ElMundoEspana/status/1070228886477250561","1070228886477250561")</f>
        <v>1070228886477250561</v>
      </c>
      <c r="F902" s="11" t="s">
        <v>2917</v>
      </c>
      <c r="G902" s="12"/>
      <c r="H902" s="12"/>
      <c r="I902" s="13">
        <v>1</v>
      </c>
      <c r="J902" s="13">
        <v>0</v>
      </c>
      <c r="K902" s="14" t="str">
        <f t="shared" si="162"/>
        <v>Twitter Web Client</v>
      </c>
      <c r="L902" s="13">
        <v>18045</v>
      </c>
      <c r="M902" s="13">
        <v>652</v>
      </c>
      <c r="N902" s="13">
        <v>353</v>
      </c>
      <c r="O902" s="19" t="s">
        <v>44</v>
      </c>
      <c r="P902" s="6">
        <v>42089.415439814809</v>
      </c>
      <c r="Q902" s="12"/>
      <c r="R902" s="17" t="s">
        <v>362</v>
      </c>
      <c r="S902" s="11" t="s">
        <v>363</v>
      </c>
      <c r="T902" s="12"/>
      <c r="U902" s="10" t="str">
        <f>HYPERLINK("https://pbs.twimg.com/profile_images/780431237555032064/H6v83dkC.jpg","View")</f>
        <v>View</v>
      </c>
    </row>
    <row r="903" spans="1:21" ht="40.799999999999997">
      <c r="A903" s="6">
        <v>43439.378981481481</v>
      </c>
      <c r="B903" s="7" t="str">
        <f>HYPERLINK("https://twitter.com/antonioperal","@antonioperal")</f>
        <v>@antonioperal</v>
      </c>
      <c r="C903" s="8" t="s">
        <v>1767</v>
      </c>
      <c r="D903" s="9" t="s">
        <v>3205</v>
      </c>
      <c r="E903" s="10" t="str">
        <f>HYPERLINK("https://twitter.com/antonioperal/status/1070227707852701696","1070227707852701696")</f>
        <v>1070227707852701696</v>
      </c>
      <c r="F903" s="11" t="s">
        <v>3206</v>
      </c>
      <c r="G903" s="12"/>
      <c r="H903" s="12"/>
      <c r="I903" s="13">
        <v>13</v>
      </c>
      <c r="J903" s="13">
        <v>12</v>
      </c>
      <c r="K903" s="14" t="str">
        <f>HYPERLINK("http://twitter.com/download/iphone","Twitter for iPhone")</f>
        <v>Twitter for iPhone</v>
      </c>
      <c r="L903" s="13">
        <v>17606</v>
      </c>
      <c r="M903" s="13">
        <v>12085</v>
      </c>
      <c r="N903" s="13">
        <v>282</v>
      </c>
      <c r="O903" s="15"/>
      <c r="P903" s="6">
        <v>40232.406469907408</v>
      </c>
      <c r="Q903" s="16" t="s">
        <v>1772</v>
      </c>
      <c r="R903" s="17" t="s">
        <v>1773</v>
      </c>
      <c r="S903" s="11" t="s">
        <v>1774</v>
      </c>
      <c r="T903" s="12"/>
      <c r="U903" s="10" t="str">
        <f>HYPERLINK("https://pbs.twimg.com/profile_images/886138908311990273/JuZB9dVx.jpg","View")</f>
        <v>View</v>
      </c>
    </row>
    <row r="904" spans="1:21" ht="13.2">
      <c r="A904" s="6">
        <v>43439.377500000002</v>
      </c>
      <c r="B904" s="7" t="str">
        <f>HYPERLINK("https://twitter.com/ondacero","@ondacero")</f>
        <v>@ondacero</v>
      </c>
      <c r="C904" s="8" t="s">
        <v>3207</v>
      </c>
      <c r="D904" s="9" t="s">
        <v>3123</v>
      </c>
      <c r="E904" s="10" t="str">
        <f>HYPERLINK("https://twitter.com/ondacero/status/1070227172357562368","1070227172357562368")</f>
        <v>1070227172357562368</v>
      </c>
      <c r="F904" s="11" t="s">
        <v>3208</v>
      </c>
      <c r="G904" s="11" t="s">
        <v>3209</v>
      </c>
      <c r="H904" s="12"/>
      <c r="I904" s="13">
        <v>0</v>
      </c>
      <c r="J904" s="13">
        <v>0</v>
      </c>
      <c r="K904" s="14" t="str">
        <f>HYPERLINK("https://ifttt.com","IFTTT")</f>
        <v>IFTTT</v>
      </c>
      <c r="L904" s="13">
        <v>2846</v>
      </c>
      <c r="M904" s="13">
        <v>1392</v>
      </c>
      <c r="N904" s="13">
        <v>127</v>
      </c>
      <c r="O904" s="15"/>
      <c r="P904" s="6">
        <v>39706.777685185181</v>
      </c>
      <c r="Q904" s="12"/>
      <c r="R904" s="20"/>
      <c r="S904" s="12"/>
      <c r="T904" s="12"/>
      <c r="U904" s="10" t="str">
        <f>HYPERLINK("https://pbs.twimg.com/profile_images/378800000546236098/4b86a015936c5c0b37d1aea046acb0b5.jpeg","View")</f>
        <v>View</v>
      </c>
    </row>
    <row r="905" spans="1:21" ht="40.799999999999997">
      <c r="A905" s="6">
        <v>43439.376539351855</v>
      </c>
      <c r="B905" s="7" t="str">
        <f>HYPERLINK("https://twitter.com/Sanfermin00","@Sanfermin00")</f>
        <v>@Sanfermin00</v>
      </c>
      <c r="C905" s="8" t="s">
        <v>1618</v>
      </c>
      <c r="D905" s="9" t="s">
        <v>3210</v>
      </c>
      <c r="E905" s="10" t="str">
        <f>HYPERLINK("https://twitter.com/Sanfermin00/status/1070226823634661377","1070226823634661377")</f>
        <v>1070226823634661377</v>
      </c>
      <c r="F905" s="11" t="s">
        <v>2831</v>
      </c>
      <c r="G905" s="12"/>
      <c r="H905" s="12"/>
      <c r="I905" s="13">
        <v>0</v>
      </c>
      <c r="J905" s="13">
        <v>0</v>
      </c>
      <c r="K905" s="14" t="str">
        <f>HYPERLINK("http://twitter.com","Twitter Web Client")</f>
        <v>Twitter Web Client</v>
      </c>
      <c r="L905" s="13">
        <v>16528</v>
      </c>
      <c r="M905" s="13">
        <v>13714</v>
      </c>
      <c r="N905" s="13">
        <v>122</v>
      </c>
      <c r="O905" s="15"/>
      <c r="P905" s="6">
        <v>42362.637083333335</v>
      </c>
      <c r="Q905" s="16" t="s">
        <v>1619</v>
      </c>
      <c r="R905" s="17" t="s">
        <v>1620</v>
      </c>
      <c r="S905" s="11" t="s">
        <v>1621</v>
      </c>
      <c r="T905" s="12"/>
      <c r="U905" s="10" t="str">
        <f>HYPERLINK("https://pbs.twimg.com/profile_images/1064102923624480768/j11dV2-u.jpg","View")</f>
        <v>View</v>
      </c>
    </row>
    <row r="906" spans="1:21" ht="30.6">
      <c r="A906" s="6">
        <v>43439.375277777777</v>
      </c>
      <c r="B906" s="7" t="str">
        <f>HYPERLINK("https://twitter.com/ajrselx","@ajrselx")</f>
        <v>@ajrselx</v>
      </c>
      <c r="C906" s="8" t="s">
        <v>3211</v>
      </c>
      <c r="D906" s="9" t="s">
        <v>3212</v>
      </c>
      <c r="E906" s="10" t="str">
        <f>HYPERLINK("https://twitter.com/ajrselx/status/1070226365457285120","1070226365457285120")</f>
        <v>1070226365457285120</v>
      </c>
      <c r="F906" s="11" t="s">
        <v>3213</v>
      </c>
      <c r="G906" s="12"/>
      <c r="H906" s="12"/>
      <c r="I906" s="13">
        <v>0</v>
      </c>
      <c r="J906" s="13">
        <v>0</v>
      </c>
      <c r="K906" s="14" t="str">
        <f>HYPERLINK("http://www.facebook.com/twitter","Facebook")</f>
        <v>Facebook</v>
      </c>
      <c r="L906" s="13">
        <v>291</v>
      </c>
      <c r="M906" s="13">
        <v>615</v>
      </c>
      <c r="N906" s="13">
        <v>4</v>
      </c>
      <c r="O906" s="15"/>
      <c r="P906" s="6">
        <v>42082.614490740743</v>
      </c>
      <c r="Q906" s="16" t="s">
        <v>48</v>
      </c>
      <c r="R906" s="17" t="s">
        <v>3215</v>
      </c>
      <c r="S906" s="12"/>
      <c r="T906" s="12"/>
      <c r="U906" s="10" t="str">
        <f>HYPERLINK("https://pbs.twimg.com/profile_images/781828744457646080/YYtfff2X.jpg","View")</f>
        <v>View</v>
      </c>
    </row>
    <row r="907" spans="1:21" ht="13.2">
      <c r="A907" s="6">
        <v>43439.373402777783</v>
      </c>
      <c r="B907" s="7" t="str">
        <f>HYPERLINK("https://twitter.com/L20mOtros","@L20mOtros")</f>
        <v>@L20mOtros</v>
      </c>
      <c r="C907" s="8" t="s">
        <v>182</v>
      </c>
      <c r="D907" s="9" t="s">
        <v>3123</v>
      </c>
      <c r="E907" s="10" t="str">
        <f>HYPERLINK("https://twitter.com/L20mOtros/status/1070225689314504704","1070225689314504704")</f>
        <v>1070225689314504704</v>
      </c>
      <c r="F907" s="11" t="s">
        <v>3216</v>
      </c>
      <c r="G907" s="11" t="s">
        <v>3217</v>
      </c>
      <c r="H907" s="12"/>
      <c r="I907" s="13">
        <v>0</v>
      </c>
      <c r="J907" s="13">
        <v>0</v>
      </c>
      <c r="K907" s="14" t="str">
        <f>HYPERLINK("http://dogtrack.es","DogTrack_Oficial")</f>
        <v>DogTrack_Oficial</v>
      </c>
      <c r="L907" s="13">
        <v>23</v>
      </c>
      <c r="M907" s="13">
        <v>8</v>
      </c>
      <c r="N907" s="13">
        <v>0</v>
      </c>
      <c r="O907" s="15"/>
      <c r="P907" s="6">
        <v>41285.602418981478</v>
      </c>
      <c r="Q907" s="12"/>
      <c r="R907" s="20"/>
      <c r="S907" s="11" t="s">
        <v>187</v>
      </c>
      <c r="T907" s="12"/>
      <c r="U907" s="10" t="str">
        <f>HYPERLINK("https://pbs.twimg.com/profile_images/3148562799/6854a445e373c5053b43f5c11d764b41.jpeg","View")</f>
        <v>View</v>
      </c>
    </row>
    <row r="908" spans="1:21" ht="20.399999999999999">
      <c r="A908" s="6">
        <v>43439.372916666667</v>
      </c>
      <c r="B908" s="7" t="str">
        <f>HYPERLINK("https://twitter.com/Belda1954","@Belda1954")</f>
        <v>@Belda1954</v>
      </c>
      <c r="C908" s="8" t="s">
        <v>3218</v>
      </c>
      <c r="D908" s="9" t="s">
        <v>2949</v>
      </c>
      <c r="E908" s="10" t="str">
        <f>HYPERLINK("https://twitter.com/Belda1954/status/1070225512574799872","1070225512574799872")</f>
        <v>1070225512574799872</v>
      </c>
      <c r="F908" s="11" t="s">
        <v>2917</v>
      </c>
      <c r="G908" s="12"/>
      <c r="H908" s="12"/>
      <c r="I908" s="13">
        <v>0</v>
      </c>
      <c r="J908" s="13">
        <v>0</v>
      </c>
      <c r="K908" s="14" t="str">
        <f>HYPERLINK("http://twitter.com","Twitter Web Client")</f>
        <v>Twitter Web Client</v>
      </c>
      <c r="L908" s="13">
        <v>340</v>
      </c>
      <c r="M908" s="13">
        <v>1035</v>
      </c>
      <c r="N908" s="13">
        <v>7</v>
      </c>
      <c r="O908" s="15"/>
      <c r="P908" s="6">
        <v>40445.780740740738</v>
      </c>
      <c r="Q908" s="16" t="s">
        <v>48</v>
      </c>
      <c r="R908" s="17" t="s">
        <v>3219</v>
      </c>
      <c r="S908" s="12"/>
      <c r="T908" s="12"/>
      <c r="U908" s="10" t="str">
        <f>HYPERLINK("https://pbs.twimg.com/profile_images/760042410126737408/0vT_CbAN.jpg","View")</f>
        <v>View</v>
      </c>
    </row>
    <row r="909" spans="1:21" ht="40.799999999999997">
      <c r="A909" s="6">
        <v>43439.37190972222</v>
      </c>
      <c r="B909" s="7" t="str">
        <f>HYPERLINK("https://twitter.com/miguelangel_efe","@miguelangel_efe")</f>
        <v>@miguelangel_efe</v>
      </c>
      <c r="C909" s="8" t="s">
        <v>3220</v>
      </c>
      <c r="D909" s="9" t="s">
        <v>3221</v>
      </c>
      <c r="E909" s="10" t="str">
        <f>HYPERLINK("https://twitter.com/miguelangel_efe/status/1070225148857462784","1070225148857462784")</f>
        <v>1070225148857462784</v>
      </c>
      <c r="F909" s="12"/>
      <c r="G909" s="12"/>
      <c r="H909" s="12"/>
      <c r="I909" s="13">
        <v>0</v>
      </c>
      <c r="J909" s="13">
        <v>0</v>
      </c>
      <c r="K909" s="14" t="str">
        <f t="shared" ref="K909:K910" si="163">HYPERLINK("http://twitter.com/download/iphone","Twitter for iPhone")</f>
        <v>Twitter for iPhone</v>
      </c>
      <c r="L909" s="13">
        <v>610</v>
      </c>
      <c r="M909" s="13">
        <v>477</v>
      </c>
      <c r="N909" s="13">
        <v>9</v>
      </c>
      <c r="O909" s="15"/>
      <c r="P909" s="6">
        <v>41697.782465277778</v>
      </c>
      <c r="Q909" s="12"/>
      <c r="R909" s="17" t="s">
        <v>3222</v>
      </c>
      <c r="S909" s="11" t="s">
        <v>3223</v>
      </c>
      <c r="T909" s="12"/>
      <c r="U909" s="10" t="str">
        <f>HYPERLINK("https://pbs.twimg.com/profile_images/659068845559291904/W5xgEpmq.jpg","View")</f>
        <v>View</v>
      </c>
    </row>
    <row r="910" spans="1:21" ht="20.399999999999999">
      <c r="A910" s="6">
        <v>43439.360092592593</v>
      </c>
      <c r="B910" s="7" t="str">
        <f>HYPERLINK("https://twitter.com/Elisa_Pulgar","@Elisa_Pulgar")</f>
        <v>@Elisa_Pulgar</v>
      </c>
      <c r="C910" s="8" t="s">
        <v>3224</v>
      </c>
      <c r="D910" s="9" t="s">
        <v>2949</v>
      </c>
      <c r="E910" s="10" t="str">
        <f>HYPERLINK("https://twitter.com/Elisa_Pulgar/status/1070220864677920768","1070220864677920768")</f>
        <v>1070220864677920768</v>
      </c>
      <c r="F910" s="11" t="s">
        <v>2917</v>
      </c>
      <c r="G910" s="12"/>
      <c r="H910" s="12"/>
      <c r="I910" s="13">
        <v>0</v>
      </c>
      <c r="J910" s="13">
        <v>0</v>
      </c>
      <c r="K910" s="14" t="str">
        <f t="shared" si="163"/>
        <v>Twitter for iPhone</v>
      </c>
      <c r="L910" s="13">
        <v>1047</v>
      </c>
      <c r="M910" s="13">
        <v>1459</v>
      </c>
      <c r="N910" s="13">
        <v>16</v>
      </c>
      <c r="O910" s="15"/>
      <c r="P910" s="6">
        <v>41138.026261574072</v>
      </c>
      <c r="Q910" s="16" t="s">
        <v>3225</v>
      </c>
      <c r="R910" s="17" t="s">
        <v>3226</v>
      </c>
      <c r="S910" s="12"/>
      <c r="T910" s="12"/>
      <c r="U910" s="10" t="str">
        <f>HYPERLINK("https://pbs.twimg.com/profile_images/936295893099270145/oytpTy2C.jpg","View")</f>
        <v>View</v>
      </c>
    </row>
    <row r="911" spans="1:21" ht="20.399999999999999">
      <c r="A911" s="6">
        <v>43439.358530092592</v>
      </c>
      <c r="B911" s="7" t="str">
        <f>HYPERLINK("https://twitter.com/Don_Estrecho","@Don_Estrecho")</f>
        <v>@Don_Estrecho</v>
      </c>
      <c r="C911" s="8" t="s">
        <v>3227</v>
      </c>
      <c r="D911" s="9" t="s">
        <v>3228</v>
      </c>
      <c r="E911" s="10" t="str">
        <f>HYPERLINK("https://twitter.com/Don_Estrecho/status/1070220296223907840","1070220296223907840")</f>
        <v>1070220296223907840</v>
      </c>
      <c r="F911" s="12"/>
      <c r="G911" s="12"/>
      <c r="H911" s="12"/>
      <c r="I911" s="13">
        <v>0</v>
      </c>
      <c r="J911" s="13">
        <v>1</v>
      </c>
      <c r="K911" s="14" t="str">
        <f>HYPERLINK("http://twitter.com/download/android","Twitter for Android")</f>
        <v>Twitter for Android</v>
      </c>
      <c r="L911" s="13">
        <v>253</v>
      </c>
      <c r="M911" s="13">
        <v>1057</v>
      </c>
      <c r="N911" s="13">
        <v>7</v>
      </c>
      <c r="O911" s="15"/>
      <c r="P911" s="6">
        <v>42245.510509259257</v>
      </c>
      <c r="Q911" s="16" t="s">
        <v>48</v>
      </c>
      <c r="R911" s="17" t="s">
        <v>3229</v>
      </c>
      <c r="S911" s="12"/>
      <c r="T911" s="12"/>
      <c r="U911" s="10" t="str">
        <f>HYPERLINK("https://pbs.twimg.com/profile_images/945275857639301120/ehLIGm_G.jpg","View")</f>
        <v>View</v>
      </c>
    </row>
    <row r="912" spans="1:21" ht="51">
      <c r="A912" s="6">
        <v>43439.356782407413</v>
      </c>
      <c r="B912" s="7" t="str">
        <f>HYPERLINK("https://twitter.com/ninapenyap","@ninapenyap")</f>
        <v>@ninapenyap</v>
      </c>
      <c r="C912" s="8" t="s">
        <v>3230</v>
      </c>
      <c r="D912" s="9" t="s">
        <v>3231</v>
      </c>
      <c r="E912" s="10" t="str">
        <f>HYPERLINK("https://twitter.com/ninapenyap/status/1070219664909893633","1070219664909893633")</f>
        <v>1070219664909893633</v>
      </c>
      <c r="F912" s="12"/>
      <c r="G912" s="12"/>
      <c r="H912" s="12"/>
      <c r="I912" s="13">
        <v>0</v>
      </c>
      <c r="J912" s="13">
        <v>2</v>
      </c>
      <c r="K912" s="14" t="str">
        <f>HYPERLINK("https://mobile.twitter.com","Twitter Lite")</f>
        <v>Twitter Lite</v>
      </c>
      <c r="L912" s="13">
        <v>2633</v>
      </c>
      <c r="M912" s="13">
        <v>2308</v>
      </c>
      <c r="N912" s="13">
        <v>131</v>
      </c>
      <c r="O912" s="15"/>
      <c r="P912" s="6">
        <v>41912.88118055556</v>
      </c>
      <c r="Q912" s="12"/>
      <c r="R912" s="17" t="s">
        <v>3232</v>
      </c>
      <c r="S912" s="11" t="s">
        <v>3233</v>
      </c>
      <c r="T912" s="12"/>
      <c r="U912" s="10" t="str">
        <f>HYPERLINK("https://pbs.twimg.com/profile_images/848663116246372355/GnIiToXg.jpg","View")</f>
        <v>View</v>
      </c>
    </row>
    <row r="913" spans="1:21" ht="40.799999999999997">
      <c r="A913" s="6">
        <v>43439.353055555555</v>
      </c>
      <c r="B913" s="7" t="str">
        <f>HYPERLINK("https://twitter.com/HectrSanjuan","@HectrSanjuan")</f>
        <v>@HectrSanjuan</v>
      </c>
      <c r="C913" s="8" t="s">
        <v>3234</v>
      </c>
      <c r="D913" s="9" t="s">
        <v>3235</v>
      </c>
      <c r="E913" s="10" t="str">
        <f>HYPERLINK("https://twitter.com/HectrSanjuan/status/1070218315967184897","1070218315967184897")</f>
        <v>1070218315967184897</v>
      </c>
      <c r="F913" s="11" t="s">
        <v>2917</v>
      </c>
      <c r="G913" s="12"/>
      <c r="H913" s="12"/>
      <c r="I913" s="13">
        <v>0</v>
      </c>
      <c r="J913" s="13">
        <v>1</v>
      </c>
      <c r="K913" s="14" t="str">
        <f>HYPERLINK("http://twitter.com/download/iphone","Twitter for iPhone")</f>
        <v>Twitter for iPhone</v>
      </c>
      <c r="L913" s="13">
        <v>3657</v>
      </c>
      <c r="M913" s="13">
        <v>1379</v>
      </c>
      <c r="N913" s="13">
        <v>93</v>
      </c>
      <c r="O913" s="15"/>
      <c r="P913" s="6">
        <v>40670.805717592593</v>
      </c>
      <c r="Q913" s="16" t="s">
        <v>145</v>
      </c>
      <c r="R913" s="17" t="s">
        <v>3236</v>
      </c>
      <c r="S913" s="11" t="s">
        <v>3237</v>
      </c>
      <c r="T913" s="12"/>
      <c r="U913" s="10" t="str">
        <f>HYPERLINK("https://pbs.twimg.com/profile_images/662224285889601536/pwSItLAX.jpg","View")</f>
        <v>View</v>
      </c>
    </row>
    <row r="914" spans="1:21" ht="40.799999999999997">
      <c r="A914" s="6">
        <v>43439.350405092591</v>
      </c>
      <c r="B914" s="7" t="str">
        <f>HYPERLINK("https://twitter.com/puxapali","@puxapali")</f>
        <v>@puxapali</v>
      </c>
      <c r="C914" s="8" t="s">
        <v>3238</v>
      </c>
      <c r="D914" s="9" t="s">
        <v>3239</v>
      </c>
      <c r="E914" s="10" t="str">
        <f>HYPERLINK("https://twitter.com/puxapali/status/1070217355400241152","1070217355400241152")</f>
        <v>1070217355400241152</v>
      </c>
      <c r="F914" s="11" t="s">
        <v>3240</v>
      </c>
      <c r="G914" s="12"/>
      <c r="H914" s="12"/>
      <c r="I914" s="13">
        <v>0</v>
      </c>
      <c r="J914" s="13">
        <v>0</v>
      </c>
      <c r="K914" s="14" t="str">
        <f>HYPERLINK("http://twitter.com","Twitter Web Client")</f>
        <v>Twitter Web Client</v>
      </c>
      <c r="L914" s="13">
        <v>6065</v>
      </c>
      <c r="M914" s="13">
        <v>5699</v>
      </c>
      <c r="N914" s="13">
        <v>249</v>
      </c>
      <c r="O914" s="15"/>
      <c r="P914" s="6">
        <v>40156.983854166669</v>
      </c>
      <c r="Q914" s="16" t="s">
        <v>3241</v>
      </c>
      <c r="R914" s="17" t="s">
        <v>3242</v>
      </c>
      <c r="S914" s="11" t="s">
        <v>3243</v>
      </c>
      <c r="T914" s="12"/>
      <c r="U914" s="10" t="str">
        <f>HYPERLINK("https://pbs.twimg.com/profile_images/610553486942564352/aCPg7kHg.jpg","View")</f>
        <v>View</v>
      </c>
    </row>
    <row r="915" spans="1:21" ht="51">
      <c r="A915" s="6">
        <v>43439.342627314814</v>
      </c>
      <c r="B915" s="7" t="str">
        <f>HYPERLINK("https://twitter.com/Cordoba24h","@Cordoba24h")</f>
        <v>@Cordoba24h</v>
      </c>
      <c r="C915" s="8" t="s">
        <v>3244</v>
      </c>
      <c r="D915" s="9" t="s">
        <v>3245</v>
      </c>
      <c r="E915" s="10" t="str">
        <f>HYPERLINK("https://twitter.com/Cordoba24h/status/1070214535594864640","1070214535594864640")</f>
        <v>1070214535594864640</v>
      </c>
      <c r="F915" s="11" t="s">
        <v>3246</v>
      </c>
      <c r="G915" s="12"/>
      <c r="H915" s="12"/>
      <c r="I915" s="13">
        <v>0</v>
      </c>
      <c r="J915" s="13">
        <v>0</v>
      </c>
      <c r="K915" s="14" t="str">
        <f>HYPERLINK("https://ifttt.com","IFTTT")</f>
        <v>IFTTT</v>
      </c>
      <c r="L915" s="13">
        <v>112</v>
      </c>
      <c r="M915" s="13">
        <v>359</v>
      </c>
      <c r="N915" s="13">
        <v>6</v>
      </c>
      <c r="O915" s="15"/>
      <c r="P915" s="6">
        <v>42891.716724537036</v>
      </c>
      <c r="Q915" s="16" t="s">
        <v>3247</v>
      </c>
      <c r="R915" s="17" t="s">
        <v>3248</v>
      </c>
      <c r="S915" s="11" t="s">
        <v>3249</v>
      </c>
      <c r="T915" s="12"/>
      <c r="U915" s="10" t="str">
        <f>HYPERLINK("https://pbs.twimg.com/profile_images/1061406688652247041/XX0TxjU5.jpg","View")</f>
        <v>View</v>
      </c>
    </row>
    <row r="916" spans="1:21" ht="20.399999999999999">
      <c r="A916" s="6">
        <v>43439.341712962967</v>
      </c>
      <c r="B916" s="7" t="str">
        <f>HYPERLINK("https://twitter.com/JorgeHerreroxtv","@JorgeHerreroxtv")</f>
        <v>@JorgeHerreroxtv</v>
      </c>
      <c r="C916" s="8" t="s">
        <v>2548</v>
      </c>
      <c r="D916" s="9" t="s">
        <v>2949</v>
      </c>
      <c r="E916" s="10" t="str">
        <f>HYPERLINK("https://twitter.com/JorgeHerreroxtv/status/1070214203674423296","1070214203674423296")</f>
        <v>1070214203674423296</v>
      </c>
      <c r="F916" s="11" t="s">
        <v>2917</v>
      </c>
      <c r="G916" s="12"/>
      <c r="H916" s="12"/>
      <c r="I916" s="13">
        <v>0</v>
      </c>
      <c r="J916" s="13">
        <v>1</v>
      </c>
      <c r="K916" s="14" t="str">
        <f>HYPERLINK("http://twitter.com/download/android","Twitter for Android")</f>
        <v>Twitter for Android</v>
      </c>
      <c r="L916" s="13">
        <v>3560</v>
      </c>
      <c r="M916" s="13">
        <v>2122</v>
      </c>
      <c r="N916" s="13">
        <v>38</v>
      </c>
      <c r="O916" s="15"/>
      <c r="P916" s="6">
        <v>41196.781770833331</v>
      </c>
      <c r="Q916" s="16" t="s">
        <v>2549</v>
      </c>
      <c r="R916" s="17" t="s">
        <v>2550</v>
      </c>
      <c r="S916" s="12"/>
      <c r="T916" s="12"/>
      <c r="U916" s="10" t="str">
        <f>HYPERLINK("https://pbs.twimg.com/profile_images/1060850495340900353/KCOJWPxs.jpg","View")</f>
        <v>View</v>
      </c>
    </row>
    <row r="917" spans="1:21" ht="30.6">
      <c r="A917" s="6">
        <v>43439.340277777781</v>
      </c>
      <c r="B917" s="7" t="str">
        <f>HYPERLINK("https://twitter.com/elperiodico","@elperiodico")</f>
        <v>@elperiodico</v>
      </c>
      <c r="C917" s="8" t="s">
        <v>3250</v>
      </c>
      <c r="D917" s="9" t="s">
        <v>3251</v>
      </c>
      <c r="E917" s="10" t="str">
        <f>HYPERLINK("https://twitter.com/elperiodico/status/1070213682448269313","1070213682448269313")</f>
        <v>1070213682448269313</v>
      </c>
      <c r="F917" s="11" t="s">
        <v>3252</v>
      </c>
      <c r="G917" s="12"/>
      <c r="H917" s="12"/>
      <c r="I917" s="13">
        <v>2</v>
      </c>
      <c r="J917" s="13">
        <v>1</v>
      </c>
      <c r="K917" s="14" t="str">
        <f>HYPERLINK("http://dogtrack.es","DogTrack_Oficial")</f>
        <v>DogTrack_Oficial</v>
      </c>
      <c r="L917" s="13">
        <v>598020</v>
      </c>
      <c r="M917" s="13">
        <v>18495</v>
      </c>
      <c r="N917" s="13">
        <v>6944</v>
      </c>
      <c r="O917" s="19" t="s">
        <v>44</v>
      </c>
      <c r="P917" s="6">
        <v>40456.539560185185</v>
      </c>
      <c r="Q917" s="16" t="s">
        <v>1455</v>
      </c>
      <c r="R917" s="17" t="s">
        <v>3253</v>
      </c>
      <c r="S917" s="11" t="s">
        <v>3254</v>
      </c>
      <c r="T917" s="12"/>
      <c r="U917" s="10" t="str">
        <f>HYPERLINK("https://pbs.twimg.com/profile_images/876802324135653377/s4G6oS9o.jpg","View")</f>
        <v>View</v>
      </c>
    </row>
    <row r="918" spans="1:21" ht="30.6">
      <c r="A918" s="6">
        <v>43439.33997685185</v>
      </c>
      <c r="B918" s="7" t="str">
        <f>HYPERLINK("https://twitter.com/AURELIAJEREZ","@AURELIAJEREZ")</f>
        <v>@AURELIAJEREZ</v>
      </c>
      <c r="C918" s="8" t="s">
        <v>3255</v>
      </c>
      <c r="D918" s="9" t="s">
        <v>2921</v>
      </c>
      <c r="E918" s="10" t="str">
        <f>HYPERLINK("https://twitter.com/AURELIAJEREZ/status/1070213574092578816","1070213574092578816")</f>
        <v>1070213574092578816</v>
      </c>
      <c r="F918" s="11" t="s">
        <v>3256</v>
      </c>
      <c r="G918" s="12"/>
      <c r="H918" s="12"/>
      <c r="I918" s="13">
        <v>0</v>
      </c>
      <c r="J918" s="13">
        <v>0</v>
      </c>
      <c r="K918" s="14" t="str">
        <f>HYPERLINK("http://twitter.com/download/android","Twitter for Android")</f>
        <v>Twitter for Android</v>
      </c>
      <c r="L918" s="13">
        <v>3265</v>
      </c>
      <c r="M918" s="13">
        <v>1990</v>
      </c>
      <c r="N918" s="13">
        <v>87</v>
      </c>
      <c r="O918" s="15"/>
      <c r="P918" s="6">
        <v>41224.77579861111</v>
      </c>
      <c r="Q918" s="16" t="s">
        <v>3257</v>
      </c>
      <c r="R918" s="17" t="s">
        <v>3258</v>
      </c>
      <c r="S918" s="11" t="s">
        <v>3259</v>
      </c>
      <c r="T918" s="12"/>
      <c r="U918" s="10" t="str">
        <f>HYPERLINK("https://pbs.twimg.com/profile_images/1041448487039188992/GoZpfxjT.jpg","View")</f>
        <v>View</v>
      </c>
    </row>
    <row r="919" spans="1:21" ht="40.799999999999997">
      <c r="A919" s="6">
        <v>43439.337592592594</v>
      </c>
      <c r="B919" s="7" t="str">
        <f>HYPERLINK("https://twitter.com/fchague","@fchague")</f>
        <v>@fchague</v>
      </c>
      <c r="C919" s="8" t="s">
        <v>3260</v>
      </c>
      <c r="D919" s="9" t="s">
        <v>3063</v>
      </c>
      <c r="E919" s="10" t="str">
        <f>HYPERLINK("https://twitter.com/fchague/status/1070212709273227265","1070212709273227265")</f>
        <v>1070212709273227265</v>
      </c>
      <c r="F919" s="11" t="s">
        <v>3261</v>
      </c>
      <c r="G919" s="12"/>
      <c r="H919" s="12"/>
      <c r="I919" s="13">
        <v>0</v>
      </c>
      <c r="J919" s="13">
        <v>0</v>
      </c>
      <c r="K919" s="14" t="str">
        <f>HYPERLINK("https://buffer.com","Buffer")</f>
        <v>Buffer</v>
      </c>
      <c r="L919" s="13">
        <v>6617</v>
      </c>
      <c r="M919" s="13">
        <v>7151</v>
      </c>
      <c r="N919" s="13">
        <v>370</v>
      </c>
      <c r="O919" s="15"/>
      <c r="P919" s="6">
        <v>40465.808900462966</v>
      </c>
      <c r="Q919" s="16" t="s">
        <v>191</v>
      </c>
      <c r="R919" s="17" t="s">
        <v>3262</v>
      </c>
      <c r="S919" s="12"/>
      <c r="T919" s="12"/>
      <c r="U919" s="10" t="str">
        <f>HYPERLINK("https://pbs.twimg.com/profile_images/643098114207936512/NnKf6mAe.jpg","View")</f>
        <v>View</v>
      </c>
    </row>
    <row r="920" spans="1:21" ht="13.2">
      <c r="A920" s="6">
        <v>43439.335543981477</v>
      </c>
      <c r="B920" s="7" t="str">
        <f>HYPERLINK("https://twitter.com/Jorgelh","@Jorgelh")</f>
        <v>@Jorgelh</v>
      </c>
      <c r="C920" s="8" t="s">
        <v>3263</v>
      </c>
      <c r="D920" s="9" t="s">
        <v>3264</v>
      </c>
      <c r="E920" s="10" t="str">
        <f>HYPERLINK("https://twitter.com/Jorgelh/status/1070211968420597762","1070211968420597762")</f>
        <v>1070211968420597762</v>
      </c>
      <c r="F920" s="11" t="s">
        <v>3265</v>
      </c>
      <c r="G920" s="12"/>
      <c r="H920" s="12"/>
      <c r="I920" s="13">
        <v>0</v>
      </c>
      <c r="J920" s="13">
        <v>1</v>
      </c>
      <c r="K920" s="14" t="str">
        <f>HYPERLINK("http://twitter.com/#!/download/ipad","Twitter for iPad")</f>
        <v>Twitter for iPad</v>
      </c>
      <c r="L920" s="13">
        <v>492</v>
      </c>
      <c r="M920" s="13">
        <v>273</v>
      </c>
      <c r="N920" s="13">
        <v>36</v>
      </c>
      <c r="O920" s="15"/>
      <c r="P920" s="6">
        <v>40215.25277777778</v>
      </c>
      <c r="Q920" s="12"/>
      <c r="R920" s="17" t="s">
        <v>3266</v>
      </c>
      <c r="S920" s="11" t="s">
        <v>3267</v>
      </c>
      <c r="T920" s="12"/>
      <c r="U920" s="10" t="str">
        <f>HYPERLINK("https://pbs.twimg.com/profile_images/1060420807896092673/mWYYelaY.jpg","View")</f>
        <v>View</v>
      </c>
    </row>
    <row r="921" spans="1:21" ht="30.6">
      <c r="A921" s="6">
        <v>43439.334351851852</v>
      </c>
      <c r="B921" s="7" t="str">
        <f>HYPERLINK("https://twitter.com/1984jma","@1984jma")</f>
        <v>@1984jma</v>
      </c>
      <c r="C921" s="8" t="s">
        <v>3268</v>
      </c>
      <c r="D921" s="9" t="s">
        <v>3269</v>
      </c>
      <c r="E921" s="10" t="str">
        <f>HYPERLINK("https://twitter.com/1984jma/status/1070211534792601602","1070211534792601602")</f>
        <v>1070211534792601602</v>
      </c>
      <c r="F921" s="11" t="s">
        <v>3270</v>
      </c>
      <c r="G921" s="11" t="s">
        <v>3271</v>
      </c>
      <c r="H921" s="12"/>
      <c r="I921" s="13">
        <v>1</v>
      </c>
      <c r="J921" s="13">
        <v>1</v>
      </c>
      <c r="K921" s="14" t="str">
        <f>HYPERLINK("http://twitter.com/download/android","Twitter for Android")</f>
        <v>Twitter for Android</v>
      </c>
      <c r="L921" s="13">
        <v>847</v>
      </c>
      <c r="M921" s="13">
        <v>773</v>
      </c>
      <c r="N921" s="13">
        <v>13</v>
      </c>
      <c r="O921" s="15"/>
      <c r="P921" s="6">
        <v>40294.811793981484</v>
      </c>
      <c r="Q921" s="16" t="s">
        <v>3272</v>
      </c>
      <c r="R921" s="17" t="s">
        <v>3273</v>
      </c>
      <c r="S921" s="11" t="s">
        <v>3274</v>
      </c>
      <c r="T921" s="12"/>
      <c r="U921" s="10" t="str">
        <f>HYPERLINK("https://pbs.twimg.com/profile_images/1040545150068563968/p1lIz46D.jpg","View")</f>
        <v>View</v>
      </c>
    </row>
    <row r="922" spans="1:21" ht="20.399999999999999">
      <c r="A922" s="6">
        <v>43439.333912037036</v>
      </c>
      <c r="B922" s="7" t="str">
        <f>HYPERLINK("https://twitter.com/EP_Mundo","@EP_Mundo")</f>
        <v>@EP_Mundo</v>
      </c>
      <c r="C922" s="8" t="s">
        <v>2762</v>
      </c>
      <c r="D922" s="9" t="s">
        <v>2718</v>
      </c>
      <c r="E922" s="10" t="str">
        <f>HYPERLINK("https://twitter.com/EP_Mundo/status/1070211377044905985","1070211377044905985")</f>
        <v>1070211377044905985</v>
      </c>
      <c r="F922" s="11" t="s">
        <v>2673</v>
      </c>
      <c r="G922" s="11" t="s">
        <v>3275</v>
      </c>
      <c r="H922" s="12"/>
      <c r="I922" s="13">
        <v>0</v>
      </c>
      <c r="J922" s="13">
        <v>0</v>
      </c>
      <c r="K922" s="14" t="str">
        <f>HYPERLINK("http://epmundo.com","Tuiteo TOP EP (2)")</f>
        <v>Tuiteo TOP EP (2)</v>
      </c>
      <c r="L922" s="13">
        <v>510219</v>
      </c>
      <c r="M922" s="13">
        <v>301867</v>
      </c>
      <c r="N922" s="13">
        <v>1363</v>
      </c>
      <c r="O922" s="15"/>
      <c r="P922" s="6">
        <v>40203.223078703704</v>
      </c>
      <c r="Q922" s="12"/>
      <c r="R922" s="17" t="s">
        <v>2764</v>
      </c>
      <c r="S922" s="11" t="s">
        <v>2765</v>
      </c>
      <c r="T922" s="12"/>
      <c r="U922" s="10" t="str">
        <f>HYPERLINK("https://pbs.twimg.com/profile_images/958329583778099200/87-xiuzB.jpg","View")</f>
        <v>View</v>
      </c>
    </row>
    <row r="923" spans="1:21" ht="71.400000000000006">
      <c r="A923" s="6">
        <v>43439.332569444443</v>
      </c>
      <c r="B923" s="7" t="str">
        <f>HYPERLINK("https://twitter.com/Elmakinista","@Elmakinista")</f>
        <v>@Elmakinista</v>
      </c>
      <c r="C923" s="8" t="s">
        <v>3276</v>
      </c>
      <c r="D923" s="9" t="s">
        <v>3277</v>
      </c>
      <c r="E923" s="10" t="str">
        <f>HYPERLINK("https://twitter.com/Elmakinista/status/1070210891713560576","1070210891713560576")</f>
        <v>1070210891713560576</v>
      </c>
      <c r="F923" s="16" t="s">
        <v>3045</v>
      </c>
      <c r="G923" s="12"/>
      <c r="H923" s="12"/>
      <c r="I923" s="13">
        <v>0</v>
      </c>
      <c r="J923" s="13">
        <v>1</v>
      </c>
      <c r="K923" s="14" t="str">
        <f>HYPERLINK("http://twitter.com/download/android","Twitter for Android")</f>
        <v>Twitter for Android</v>
      </c>
      <c r="L923" s="13">
        <v>783</v>
      </c>
      <c r="M923" s="13">
        <v>897</v>
      </c>
      <c r="N923" s="13">
        <v>1</v>
      </c>
      <c r="O923" s="15"/>
      <c r="P923" s="6">
        <v>42984.522939814815</v>
      </c>
      <c r="Q923" s="12"/>
      <c r="R923" s="17" t="s">
        <v>3278</v>
      </c>
      <c r="S923" s="12"/>
      <c r="T923" s="12"/>
      <c r="U923" s="10" t="str">
        <f>HYPERLINK("https://pbs.twimg.com/profile_images/1069162960239636482/EoNFW-Cz.jpg","View")</f>
        <v>View</v>
      </c>
    </row>
    <row r="924" spans="1:21" ht="40.799999999999997">
      <c r="A924" s="6">
        <v>43439.330729166672</v>
      </c>
      <c r="B924" s="7" t="str">
        <f>HYPERLINK("https://twitter.com/Canal_Z_","@Canal_Z_")</f>
        <v>@Canal_Z_</v>
      </c>
      <c r="C924" s="8" t="s">
        <v>3279</v>
      </c>
      <c r="D924" s="9" t="s">
        <v>3123</v>
      </c>
      <c r="E924" s="10" t="str">
        <f>HYPERLINK("https://twitter.com/Canal_Z_/status/1070210225137963008","1070210225137963008")</f>
        <v>1070210225137963008</v>
      </c>
      <c r="F924" s="11" t="s">
        <v>3280</v>
      </c>
      <c r="G924" s="11" t="s">
        <v>3281</v>
      </c>
      <c r="H924" s="12"/>
      <c r="I924" s="13">
        <v>0</v>
      </c>
      <c r="J924" s="13">
        <v>0</v>
      </c>
      <c r="K924" s="14" t="str">
        <f>HYPERLINK("http://twitter.com","Twitter Web Client")</f>
        <v>Twitter Web Client</v>
      </c>
      <c r="L924" s="13">
        <v>2622</v>
      </c>
      <c r="M924" s="13">
        <v>4996</v>
      </c>
      <c r="N924" s="13">
        <v>10</v>
      </c>
      <c r="O924" s="15"/>
      <c r="P924" s="6">
        <v>41462.275254629625</v>
      </c>
      <c r="Q924" s="16" t="s">
        <v>48</v>
      </c>
      <c r="R924" s="17" t="s">
        <v>3282</v>
      </c>
      <c r="S924" s="12"/>
      <c r="T924" s="12"/>
      <c r="U924" s="10" t="str">
        <f>HYPERLINK("https://pbs.twimg.com/profile_images/1008407123242422272/aENpWjy6.jpg","View")</f>
        <v>View</v>
      </c>
    </row>
    <row r="925" spans="1:21" ht="40.799999999999997">
      <c r="A925" s="6">
        <v>43439.327245370368</v>
      </c>
      <c r="B925" s="7" t="str">
        <f>HYPERLINK("https://twitter.com/Zibelinam","@Zibelinam")</f>
        <v>@Zibelinam</v>
      </c>
      <c r="C925" s="8" t="s">
        <v>3283</v>
      </c>
      <c r="D925" s="9" t="s">
        <v>3284</v>
      </c>
      <c r="E925" s="10" t="str">
        <f>HYPERLINK("https://twitter.com/Zibelinam/status/1070208962446938112","1070208962446938112")</f>
        <v>1070208962446938112</v>
      </c>
      <c r="F925" s="11" t="s">
        <v>3285</v>
      </c>
      <c r="G925" s="12"/>
      <c r="H925" s="12"/>
      <c r="I925" s="13">
        <v>0</v>
      </c>
      <c r="J925" s="13">
        <v>0</v>
      </c>
      <c r="K925" s="14" t="str">
        <f>HYPERLINK("http://twitter.com/download/iphone","Twitter for iPhone")</f>
        <v>Twitter for iPhone</v>
      </c>
      <c r="L925" s="13">
        <v>4133</v>
      </c>
      <c r="M925" s="13">
        <v>4055</v>
      </c>
      <c r="N925" s="13">
        <v>20</v>
      </c>
      <c r="O925" s="15"/>
      <c r="P925" s="6">
        <v>41405.65353009259</v>
      </c>
      <c r="Q925" s="16" t="s">
        <v>3286</v>
      </c>
      <c r="R925" s="17" t="s">
        <v>3287</v>
      </c>
      <c r="S925" s="12"/>
      <c r="T925" s="12"/>
      <c r="U925" s="10" t="str">
        <f>HYPERLINK("https://pbs.twimg.com/profile_images/929426502416027649/07tvgMQf.jpg","View")</f>
        <v>View</v>
      </c>
    </row>
    <row r="926" spans="1:21" ht="20.399999999999999">
      <c r="A926" s="6">
        <v>43439.327164351853</v>
      </c>
      <c r="B926" s="7" t="str">
        <f>HYPERLINK("https://twitter.com/CristoFeliz1","@CristoFeliz1")</f>
        <v>@CristoFeliz1</v>
      </c>
      <c r="C926" s="8" t="s">
        <v>172</v>
      </c>
      <c r="D926" s="9" t="s">
        <v>3123</v>
      </c>
      <c r="E926" s="10" t="str">
        <f>HYPERLINK("https://twitter.com/CristoFeliz1/status/1070208930628820992","1070208930628820992")</f>
        <v>1070208930628820992</v>
      </c>
      <c r="F926" s="11" t="s">
        <v>3288</v>
      </c>
      <c r="G926" s="11" t="s">
        <v>3289</v>
      </c>
      <c r="H926" s="12"/>
      <c r="I926" s="13">
        <v>0</v>
      </c>
      <c r="J926" s="13">
        <v>0</v>
      </c>
      <c r="K926" s="14" t="str">
        <f>HYPERLINK("https://dlvrit.com/","dlvr.it")</f>
        <v>dlvr.it</v>
      </c>
      <c r="L926" s="13">
        <v>7015</v>
      </c>
      <c r="M926" s="13">
        <v>7733</v>
      </c>
      <c r="N926" s="13">
        <v>561</v>
      </c>
      <c r="O926" s="15"/>
      <c r="P926" s="6">
        <v>41186.866469907407</v>
      </c>
      <c r="Q926" s="16" t="s">
        <v>175</v>
      </c>
      <c r="R926" s="17" t="s">
        <v>176</v>
      </c>
      <c r="S926" s="12"/>
      <c r="T926" s="12"/>
      <c r="U926" s="10" t="str">
        <f>HYPERLINK("https://pbs.twimg.com/profile_images/1002564938911703040/1Wvxy6Jm.jpg","View")</f>
        <v>View</v>
      </c>
    </row>
    <row r="927" spans="1:21" ht="30.6">
      <c r="A927" s="6">
        <v>43439.324479166666</v>
      </c>
      <c r="B927" s="7" t="str">
        <f>HYPERLINK("https://twitter.com/g_palmira","@g_palmira")</f>
        <v>@g_palmira</v>
      </c>
      <c r="C927" s="8" t="s">
        <v>2598</v>
      </c>
      <c r="D927" s="9" t="s">
        <v>2949</v>
      </c>
      <c r="E927" s="10" t="str">
        <f>HYPERLINK("https://twitter.com/g_palmira/status/1070207958276030464","1070207958276030464")</f>
        <v>1070207958276030464</v>
      </c>
      <c r="F927" s="11" t="s">
        <v>2917</v>
      </c>
      <c r="G927" s="12"/>
      <c r="H927" s="12"/>
      <c r="I927" s="13">
        <v>0</v>
      </c>
      <c r="J927" s="13">
        <v>0</v>
      </c>
      <c r="K927" s="14" t="str">
        <f>HYPERLINK("http://twitter.com/#!/download/ipad","Twitter for iPad")</f>
        <v>Twitter for iPad</v>
      </c>
      <c r="L927" s="13">
        <v>1460</v>
      </c>
      <c r="M927" s="13">
        <v>1448</v>
      </c>
      <c r="N927" s="13">
        <v>0</v>
      </c>
      <c r="O927" s="15"/>
      <c r="P927" s="6">
        <v>41005.74019675926</v>
      </c>
      <c r="Q927" s="12"/>
      <c r="R927" s="17" t="s">
        <v>2599</v>
      </c>
      <c r="S927" s="12"/>
      <c r="T927" s="12"/>
      <c r="U927" s="10" t="str">
        <f>HYPERLINK("https://pbs.twimg.com/profile_images/1057639071927885824/O5EfhEom.jpg","View")</f>
        <v>View</v>
      </c>
    </row>
    <row r="928" spans="1:21" ht="51">
      <c r="A928" s="6">
        <v>43439.324467592596</v>
      </c>
      <c r="B928" s="7" t="str">
        <f>HYPERLINK("https://twitter.com/rubenlodi","@rubenlodi")</f>
        <v>@rubenlodi</v>
      </c>
      <c r="C928" s="8" t="s">
        <v>3290</v>
      </c>
      <c r="D928" s="9" t="s">
        <v>3291</v>
      </c>
      <c r="E928" s="10" t="str">
        <f>HYPERLINK("https://twitter.com/rubenlodi/status/1070207955327479808","1070207955327479808")</f>
        <v>1070207955327479808</v>
      </c>
      <c r="F928" s="12"/>
      <c r="G928" s="11" t="s">
        <v>3292</v>
      </c>
      <c r="H928" s="12"/>
      <c r="I928" s="13">
        <v>14</v>
      </c>
      <c r="J928" s="13">
        <v>13</v>
      </c>
      <c r="K928" s="14" t="str">
        <f>HYPERLINK("http://twitter.com/download/android","Twitter for Android")</f>
        <v>Twitter for Android</v>
      </c>
      <c r="L928" s="13">
        <v>17458</v>
      </c>
      <c r="M928" s="13">
        <v>10402</v>
      </c>
      <c r="N928" s="13">
        <v>277</v>
      </c>
      <c r="O928" s="15"/>
      <c r="P928" s="6">
        <v>40635.484189814815</v>
      </c>
      <c r="Q928" s="16" t="s">
        <v>3293</v>
      </c>
      <c r="R928" s="17" t="s">
        <v>3294</v>
      </c>
      <c r="S928" s="12"/>
      <c r="T928" s="12"/>
      <c r="U928" s="10" t="str">
        <f>HYPERLINK("https://pbs.twimg.com/profile_images/775597824515923968/xtS65Wap.jpg","View")</f>
        <v>View</v>
      </c>
    </row>
    <row r="929" spans="1:21" ht="20.399999999999999">
      <c r="A929" s="6">
        <v>43439.32435185185</v>
      </c>
      <c r="B929" s="7" t="str">
        <f>HYPERLINK("https://twitter.com/vsip_","@vsip_")</f>
        <v>@vsip_</v>
      </c>
      <c r="C929" s="8" t="s">
        <v>3295</v>
      </c>
      <c r="D929" s="9" t="s">
        <v>3296</v>
      </c>
      <c r="E929" s="10" t="str">
        <f>HYPERLINK("https://twitter.com/vsip_/status/1070207912386138113","1070207912386138113")</f>
        <v>1070207912386138113</v>
      </c>
      <c r="F929" s="11" t="s">
        <v>2917</v>
      </c>
      <c r="G929" s="12"/>
      <c r="H929" s="12"/>
      <c r="I929" s="13">
        <v>1</v>
      </c>
      <c r="J929" s="13">
        <v>7</v>
      </c>
      <c r="K929" s="14" t="str">
        <f>HYPERLINK("http://twitter.com/download/iphone","Twitter for iPhone")</f>
        <v>Twitter for iPhone</v>
      </c>
      <c r="L929" s="13">
        <v>1572</v>
      </c>
      <c r="M929" s="13">
        <v>334</v>
      </c>
      <c r="N929" s="13">
        <v>84</v>
      </c>
      <c r="O929" s="15"/>
      <c r="P929" s="6">
        <v>40383.900173611109</v>
      </c>
      <c r="Q929" s="12"/>
      <c r="R929" s="17" t="s">
        <v>3297</v>
      </c>
      <c r="S929" s="12"/>
      <c r="T929" s="12"/>
      <c r="U929" s="10" t="str">
        <f>HYPERLINK("https://pbs.twimg.com/profile_images/916774820049752072/MIxXlicY.jpg","View")</f>
        <v>View</v>
      </c>
    </row>
    <row r="930" spans="1:21" ht="30.6">
      <c r="A930" s="6">
        <v>43439.323425925926</v>
      </c>
      <c r="B930" s="7" t="str">
        <f>HYPERLINK("https://twitter.com/periodicovzlano","@periodicovzlano")</f>
        <v>@periodicovzlano</v>
      </c>
      <c r="C930" s="8" t="s">
        <v>2671</v>
      </c>
      <c r="D930" s="9" t="s">
        <v>2672</v>
      </c>
      <c r="E930" s="10" t="str">
        <f>HYPERLINK("https://twitter.com/periodicovzlano/status/1070207575872995330","1070207575872995330")</f>
        <v>1070207575872995330</v>
      </c>
      <c r="F930" s="11" t="s">
        <v>2673</v>
      </c>
      <c r="G930" s="11" t="s">
        <v>3298</v>
      </c>
      <c r="H930" s="12"/>
      <c r="I930" s="13">
        <v>0</v>
      </c>
      <c r="J930" s="13">
        <v>1</v>
      </c>
      <c r="K930" s="14" t="str">
        <f>HYPERLINK("http://epmundo.com","Tuiteo TOP EP (1)")</f>
        <v>Tuiteo TOP EP (1)</v>
      </c>
      <c r="L930" s="13">
        <v>479694</v>
      </c>
      <c r="M930" s="13">
        <v>358804</v>
      </c>
      <c r="N930" s="13">
        <v>1295</v>
      </c>
      <c r="O930" s="15"/>
      <c r="P930" s="6">
        <v>40663.3512962963</v>
      </c>
      <c r="Q930" s="16" t="s">
        <v>861</v>
      </c>
      <c r="R930" s="17" t="s">
        <v>2675</v>
      </c>
      <c r="S930" s="11" t="s">
        <v>2676</v>
      </c>
      <c r="T930" s="12"/>
      <c r="U930" s="10" t="str">
        <f>HYPERLINK("https://pbs.twimg.com/profile_images/958328579250638849/MCz7Q8U6.jpg","View")</f>
        <v>View</v>
      </c>
    </row>
    <row r="931" spans="1:21" ht="20.399999999999999">
      <c r="A931" s="6">
        <v>43439.320439814815</v>
      </c>
      <c r="B931" s="7" t="str">
        <f>HYPERLINK("https://twitter.com/ensata","@ensata")</f>
        <v>@ensata</v>
      </c>
      <c r="C931" s="8" t="s">
        <v>3299</v>
      </c>
      <c r="D931" s="9" t="s">
        <v>3300</v>
      </c>
      <c r="E931" s="10" t="str">
        <f>HYPERLINK("https://twitter.com/ensata/status/1070206495600664577","1070206495600664577")</f>
        <v>1070206495600664577</v>
      </c>
      <c r="F931" s="12"/>
      <c r="G931" s="11" t="s">
        <v>3301</v>
      </c>
      <c r="H931" s="12"/>
      <c r="I931" s="13">
        <v>1</v>
      </c>
      <c r="J931" s="13">
        <v>1</v>
      </c>
      <c r="K931" s="14" t="str">
        <f>HYPERLINK("https://mobile.twitter.com","Twitter Lite")</f>
        <v>Twitter Lite</v>
      </c>
      <c r="L931" s="13">
        <v>14292</v>
      </c>
      <c r="M931" s="13">
        <v>13334</v>
      </c>
      <c r="N931" s="13">
        <v>153</v>
      </c>
      <c r="O931" s="15"/>
      <c r="P931" s="6">
        <v>39908.488946759258</v>
      </c>
      <c r="Q931" s="16" t="s">
        <v>3302</v>
      </c>
      <c r="R931" s="17" t="s">
        <v>3303</v>
      </c>
      <c r="S931" s="11" t="s">
        <v>3304</v>
      </c>
      <c r="T931" s="12"/>
      <c r="U931" s="10" t="str">
        <f>HYPERLINK("https://pbs.twimg.com/profile_images/2791683192/4237c175fd0e3a07d1b5a37bbebf41ab.jpeg","View")</f>
        <v>View</v>
      </c>
    </row>
    <row r="932" spans="1:21" ht="40.799999999999997">
      <c r="A932" s="6">
        <v>43439.316041666665</v>
      </c>
      <c r="B932" s="7" t="str">
        <f>HYPERLINK("https://twitter.com/jatirado","@jatirado")</f>
        <v>@jatirado</v>
      </c>
      <c r="C932" s="8" t="s">
        <v>188</v>
      </c>
      <c r="D932" s="9" t="s">
        <v>3123</v>
      </c>
      <c r="E932" s="10" t="str">
        <f>HYPERLINK("https://twitter.com/jatirado/status/1070204902440239106","1070204902440239106")</f>
        <v>1070204902440239106</v>
      </c>
      <c r="F932" s="11" t="s">
        <v>3305</v>
      </c>
      <c r="G932" s="11" t="s">
        <v>3306</v>
      </c>
      <c r="H932" s="12"/>
      <c r="I932" s="13">
        <v>6</v>
      </c>
      <c r="J932" s="13">
        <v>3</v>
      </c>
      <c r="K932" s="14" t="str">
        <f>HYPERLINK("https://dlvrit.com/","dlvr.it")</f>
        <v>dlvr.it</v>
      </c>
      <c r="L932" s="13">
        <v>81545</v>
      </c>
      <c r="M932" s="13">
        <v>49760</v>
      </c>
      <c r="N932" s="13">
        <v>1030</v>
      </c>
      <c r="O932" s="15"/>
      <c r="P932" s="6">
        <v>40353.552581018521</v>
      </c>
      <c r="Q932" s="16" t="s">
        <v>191</v>
      </c>
      <c r="R932" s="17" t="s">
        <v>192</v>
      </c>
      <c r="S932" s="11" t="s">
        <v>193</v>
      </c>
      <c r="T932" s="12"/>
      <c r="U932" s="10" t="str">
        <f>HYPERLINK("https://pbs.twimg.com/profile_images/485680559742791680/dg68o8vH.jpeg","View")</f>
        <v>View</v>
      </c>
    </row>
    <row r="933" spans="1:21" ht="20.399999999999999">
      <c r="A933" s="6">
        <v>43439.315347222218</v>
      </c>
      <c r="B933" s="7" t="str">
        <f>HYPERLINK("https://twitter.com/anewhopeleia","@anewhopeleia")</f>
        <v>@anewhopeleia</v>
      </c>
      <c r="C933" s="8" t="s">
        <v>3308</v>
      </c>
      <c r="D933" s="9" t="s">
        <v>3309</v>
      </c>
      <c r="E933" s="10" t="str">
        <f>HYPERLINK("https://twitter.com/anewhopeleia/status/1070204650287194112","1070204650287194112")</f>
        <v>1070204650287194112</v>
      </c>
      <c r="F933" s="11" t="s">
        <v>3285</v>
      </c>
      <c r="G933" s="12"/>
      <c r="H933" s="12"/>
      <c r="I933" s="13">
        <v>0</v>
      </c>
      <c r="J933" s="13">
        <v>0</v>
      </c>
      <c r="K933" s="14" t="str">
        <f>HYPERLINK("http://twitter.com/#!/download/ipad","Twitter for iPad")</f>
        <v>Twitter for iPad</v>
      </c>
      <c r="L933" s="13">
        <v>205</v>
      </c>
      <c r="M933" s="13">
        <v>661</v>
      </c>
      <c r="N933" s="13">
        <v>11</v>
      </c>
      <c r="O933" s="15"/>
      <c r="P933" s="6">
        <v>41844.585289351853</v>
      </c>
      <c r="Q933" s="12"/>
      <c r="R933" s="20"/>
      <c r="S933" s="12"/>
      <c r="T933" s="12"/>
      <c r="U933" s="10" t="str">
        <f>HYPERLINK("https://pbs.twimg.com/profile_images/492283263843840000/vz50FzJs.jpeg","View")</f>
        <v>View</v>
      </c>
    </row>
    <row r="934" spans="1:21" ht="40.799999999999997">
      <c r="A934" s="6">
        <v>43439.312986111108</v>
      </c>
      <c r="B934" s="7" t="str">
        <f>HYPERLINK("https://twitter.com/wizfun","@wizfun")</f>
        <v>@wizfun</v>
      </c>
      <c r="C934" s="8" t="s">
        <v>3310</v>
      </c>
      <c r="D934" s="9" t="s">
        <v>3311</v>
      </c>
      <c r="E934" s="10" t="str">
        <f>HYPERLINK("https://twitter.com/wizfun/status/1070203792757538816","1070203792757538816")</f>
        <v>1070203792757538816</v>
      </c>
      <c r="F934" s="11" t="s">
        <v>3312</v>
      </c>
      <c r="G934" s="12"/>
      <c r="H934" s="12"/>
      <c r="I934" s="13">
        <v>0</v>
      </c>
      <c r="J934" s="13">
        <v>0</v>
      </c>
      <c r="K934" s="14" t="str">
        <f t="shared" ref="K934:K938" si="164">HYPERLINK("http://twitter.com","Twitter Web Client")</f>
        <v>Twitter Web Client</v>
      </c>
      <c r="L934" s="13">
        <v>200</v>
      </c>
      <c r="M934" s="13">
        <v>291</v>
      </c>
      <c r="N934" s="13">
        <v>13</v>
      </c>
      <c r="O934" s="15"/>
      <c r="P934" s="6">
        <v>40266.80096064815</v>
      </c>
      <c r="Q934" s="16" t="s">
        <v>48</v>
      </c>
      <c r="R934" s="17" t="s">
        <v>3313</v>
      </c>
      <c r="S934" s="11" t="s">
        <v>3314</v>
      </c>
      <c r="T934" s="12"/>
      <c r="U934" s="10" t="str">
        <f>HYPERLINK("https://pbs.twimg.com/profile_images/1200922608/39422f431da47e9d825fb425d6cbae8136226167.jpg","View")</f>
        <v>View</v>
      </c>
    </row>
    <row r="935" spans="1:21" ht="30.6">
      <c r="A935" s="6">
        <v>43439.310613425929</v>
      </c>
      <c r="B935" s="7" t="str">
        <f>HYPERLINK("https://twitter.com/MateoLu79941552","@MateoLu79941552")</f>
        <v>@MateoLu79941552</v>
      </c>
      <c r="C935" s="8" t="s">
        <v>3315</v>
      </c>
      <c r="D935" s="9" t="s">
        <v>3316</v>
      </c>
      <c r="E935" s="10" t="str">
        <f>HYPERLINK("https://twitter.com/MateoLu79941552/status/1070202933587927041","1070202933587927041")</f>
        <v>1070202933587927041</v>
      </c>
      <c r="F935" s="11" t="s">
        <v>3317</v>
      </c>
      <c r="G935" s="12"/>
      <c r="H935" s="12"/>
      <c r="I935" s="13">
        <v>0</v>
      </c>
      <c r="J935" s="13">
        <v>0</v>
      </c>
      <c r="K935" s="14" t="str">
        <f t="shared" si="164"/>
        <v>Twitter Web Client</v>
      </c>
      <c r="L935" s="13">
        <v>75</v>
      </c>
      <c r="M935" s="13">
        <v>103</v>
      </c>
      <c r="N935" s="13">
        <v>0</v>
      </c>
      <c r="O935" s="15"/>
      <c r="P935" s="6">
        <v>42714.965613425928</v>
      </c>
      <c r="Q935" s="12"/>
      <c r="R935" s="20"/>
      <c r="S935" s="12"/>
      <c r="T935" s="12"/>
      <c r="U935" s="10" t="str">
        <f>HYPERLINK("https://pbs.twimg.com/profile_images/1035606686818619392/nOeTEZOU.jpg","View")</f>
        <v>View</v>
      </c>
    </row>
    <row r="936" spans="1:21" ht="20.399999999999999">
      <c r="A936" s="6">
        <v>43439.304224537038</v>
      </c>
      <c r="B936" s="7" t="str">
        <f>HYPERLINK("https://twitter.com/KALERGIPLAN3","@KALERGIPLAN3")</f>
        <v>@KALERGIPLAN3</v>
      </c>
      <c r="C936" s="8" t="s">
        <v>575</v>
      </c>
      <c r="D936" s="9" t="s">
        <v>2949</v>
      </c>
      <c r="E936" s="10" t="str">
        <f>HYPERLINK("https://twitter.com/KALERGIPLAN3/status/1070200616776032257","1070200616776032257")</f>
        <v>1070200616776032257</v>
      </c>
      <c r="F936" s="11" t="s">
        <v>2917</v>
      </c>
      <c r="G936" s="12"/>
      <c r="H936" s="12"/>
      <c r="I936" s="13">
        <v>0</v>
      </c>
      <c r="J936" s="13">
        <v>0</v>
      </c>
      <c r="K936" s="14" t="str">
        <f t="shared" si="164"/>
        <v>Twitter Web Client</v>
      </c>
      <c r="L936" s="13">
        <v>759</v>
      </c>
      <c r="M936" s="13">
        <v>1224</v>
      </c>
      <c r="N936" s="13">
        <v>4</v>
      </c>
      <c r="O936" s="15"/>
      <c r="P936" s="6">
        <v>43126.55405092593</v>
      </c>
      <c r="Q936" s="16" t="s">
        <v>578</v>
      </c>
      <c r="R936" s="17" t="s">
        <v>579</v>
      </c>
      <c r="S936" s="12"/>
      <c r="T936" s="12"/>
      <c r="U936" s="10" t="str">
        <f>HYPERLINK("https://pbs.twimg.com/profile_images/957285491707121664/UefjbD3b.jpg","View")</f>
        <v>View</v>
      </c>
    </row>
    <row r="937" spans="1:21" ht="20.399999999999999">
      <c r="A937" s="6">
        <v>43439.298587962963</v>
      </c>
      <c r="B937" s="7" t="str">
        <f>HYPERLINK("https://twitter.com/jalemanuris","@jalemanuris")</f>
        <v>@jalemanuris</v>
      </c>
      <c r="C937" s="8" t="s">
        <v>3320</v>
      </c>
      <c r="D937" s="9" t="s">
        <v>2949</v>
      </c>
      <c r="E937" s="10" t="str">
        <f>HYPERLINK("https://twitter.com/jalemanuris/status/1070198576234532864","1070198576234532864")</f>
        <v>1070198576234532864</v>
      </c>
      <c r="F937" s="11" t="s">
        <v>2917</v>
      </c>
      <c r="G937" s="12"/>
      <c r="H937" s="12"/>
      <c r="I937" s="13">
        <v>3</v>
      </c>
      <c r="J937" s="13">
        <v>3</v>
      </c>
      <c r="K937" s="14" t="str">
        <f t="shared" si="164"/>
        <v>Twitter Web Client</v>
      </c>
      <c r="L937" s="13">
        <v>4167</v>
      </c>
      <c r="M937" s="13">
        <v>930</v>
      </c>
      <c r="N937" s="13">
        <v>49</v>
      </c>
      <c r="O937" s="15"/>
      <c r="P937" s="6">
        <v>40555.980011574073</v>
      </c>
      <c r="Q937" s="16" t="s">
        <v>30</v>
      </c>
      <c r="R937" s="17" t="s">
        <v>3321</v>
      </c>
      <c r="S937" s="12"/>
      <c r="T937" s="12"/>
      <c r="U937" s="10" t="str">
        <f>HYPERLINK("https://pbs.twimg.com/profile_images/1034806892994981888/Y-usPi07.jpg","View")</f>
        <v>View</v>
      </c>
    </row>
    <row r="938" spans="1:21" ht="20.399999999999999">
      <c r="A938" s="6">
        <v>43439.290636574078</v>
      </c>
      <c r="B938" s="7" t="str">
        <f>HYPERLINK("https://twitter.com/KALERGIPLAN3","@KALERGIPLAN3")</f>
        <v>@KALERGIPLAN3</v>
      </c>
      <c r="C938" s="8" t="s">
        <v>575</v>
      </c>
      <c r="D938" s="9" t="s">
        <v>3323</v>
      </c>
      <c r="E938" s="10" t="str">
        <f>HYPERLINK("https://twitter.com/KALERGIPLAN3/status/1070195693539725312","1070195693539725312")</f>
        <v>1070195693539725312</v>
      </c>
      <c r="F938" s="11" t="s">
        <v>3324</v>
      </c>
      <c r="G938" s="12"/>
      <c r="H938" s="12"/>
      <c r="I938" s="13">
        <v>0</v>
      </c>
      <c r="J938" s="13">
        <v>0</v>
      </c>
      <c r="K938" s="14" t="str">
        <f t="shared" si="164"/>
        <v>Twitter Web Client</v>
      </c>
      <c r="L938" s="13">
        <v>759</v>
      </c>
      <c r="M938" s="13">
        <v>1224</v>
      </c>
      <c r="N938" s="13">
        <v>4</v>
      </c>
      <c r="O938" s="15"/>
      <c r="P938" s="6">
        <v>43126.55405092593</v>
      </c>
      <c r="Q938" s="16" t="s">
        <v>578</v>
      </c>
      <c r="R938" s="17" t="s">
        <v>579</v>
      </c>
      <c r="S938" s="12"/>
      <c r="T938" s="12"/>
      <c r="U938" s="10" t="str">
        <f>HYPERLINK("https://pbs.twimg.com/profile_images/957285491707121664/UefjbD3b.jpg","View")</f>
        <v>View</v>
      </c>
    </row>
    <row r="939" spans="1:21" ht="30.6">
      <c r="A939" s="6">
        <v>43439.278958333336</v>
      </c>
      <c r="B939" s="7" t="str">
        <f>HYPERLINK("https://twitter.com/clamorsegovia","@clamorsegovia")</f>
        <v>@clamorsegovia</v>
      </c>
      <c r="C939" s="8" t="s">
        <v>3327</v>
      </c>
      <c r="D939" s="9" t="s">
        <v>3210</v>
      </c>
      <c r="E939" s="10" t="str">
        <f>HYPERLINK("https://twitter.com/clamorsegovia/status/1070191464490131456","1070191464490131456")</f>
        <v>1070191464490131456</v>
      </c>
      <c r="F939" s="11" t="s">
        <v>3328</v>
      </c>
      <c r="G939" s="12"/>
      <c r="H939" s="12"/>
      <c r="I939" s="13">
        <v>0</v>
      </c>
      <c r="J939" s="13">
        <v>0</v>
      </c>
      <c r="K939" s="14" t="str">
        <f>HYPERLINK("http://twitter.com/download/android","Twitter for Android")</f>
        <v>Twitter for Android</v>
      </c>
      <c r="L939" s="13">
        <v>2718</v>
      </c>
      <c r="M939" s="13">
        <v>1712</v>
      </c>
      <c r="N939" s="13">
        <v>44</v>
      </c>
      <c r="O939" s="15"/>
      <c r="P939" s="6">
        <v>40615.442974537036</v>
      </c>
      <c r="Q939" s="16" t="s">
        <v>191</v>
      </c>
      <c r="R939" s="17" t="s">
        <v>3329</v>
      </c>
      <c r="S939" s="11" t="s">
        <v>3330</v>
      </c>
      <c r="T939" s="12"/>
      <c r="U939" s="10" t="str">
        <f>HYPERLINK("https://pbs.twimg.com/profile_images/1055051697536622592/sYsCmnMN.jpg","View")</f>
        <v>View</v>
      </c>
    </row>
    <row r="940" spans="1:21" ht="30.6">
      <c r="A940" s="6">
        <v>43439.274814814809</v>
      </c>
      <c r="B940" s="7" t="str">
        <f>HYPERLINK("https://twitter.com/periodicovzlano","@periodicovzlano")</f>
        <v>@periodicovzlano</v>
      </c>
      <c r="C940" s="8" t="s">
        <v>2671</v>
      </c>
      <c r="D940" s="9" t="s">
        <v>2672</v>
      </c>
      <c r="E940" s="10" t="str">
        <f>HYPERLINK("https://twitter.com/periodicovzlano/status/1070189961968828416","1070189961968828416")</f>
        <v>1070189961968828416</v>
      </c>
      <c r="F940" s="11" t="s">
        <v>2673</v>
      </c>
      <c r="G940" s="11" t="s">
        <v>3331</v>
      </c>
      <c r="H940" s="12"/>
      <c r="I940" s="13">
        <v>2</v>
      </c>
      <c r="J940" s="13">
        <v>1</v>
      </c>
      <c r="K940" s="14" t="str">
        <f>HYPERLINK("http://epmundo.com","Tuiteo TOP EP (1)")</f>
        <v>Tuiteo TOP EP (1)</v>
      </c>
      <c r="L940" s="13">
        <v>479694</v>
      </c>
      <c r="M940" s="13">
        <v>358804</v>
      </c>
      <c r="N940" s="13">
        <v>1295</v>
      </c>
      <c r="O940" s="15"/>
      <c r="P940" s="6">
        <v>40663.3512962963</v>
      </c>
      <c r="Q940" s="16" t="s">
        <v>861</v>
      </c>
      <c r="R940" s="17" t="s">
        <v>2675</v>
      </c>
      <c r="S940" s="11" t="s">
        <v>2676</v>
      </c>
      <c r="T940" s="12"/>
      <c r="U940" s="10" t="str">
        <f>HYPERLINK("https://pbs.twimg.com/profile_images/958328579250638849/MCz7Q8U6.jpg","View")</f>
        <v>View</v>
      </c>
    </row>
    <row r="941" spans="1:21" ht="20.399999999999999">
      <c r="A941" s="6">
        <v>43439.271296296298</v>
      </c>
      <c r="B941" s="7" t="str">
        <f>HYPERLINK("https://twitter.com/decea_victor","@decea_victor")</f>
        <v>@decea_victor</v>
      </c>
      <c r="C941" s="8" t="s">
        <v>3332</v>
      </c>
      <c r="D941" s="9" t="s">
        <v>2949</v>
      </c>
      <c r="E941" s="10" t="str">
        <f>HYPERLINK("https://twitter.com/decea_victor/status/1070188686778736640","1070188686778736640")</f>
        <v>1070188686778736640</v>
      </c>
      <c r="F941" s="11" t="s">
        <v>2917</v>
      </c>
      <c r="G941" s="12"/>
      <c r="H941" s="12"/>
      <c r="I941" s="13">
        <v>0</v>
      </c>
      <c r="J941" s="13">
        <v>0</v>
      </c>
      <c r="K941" s="14" t="str">
        <f>HYPERLINK("http://twitter.com/download/android","Twitter for Android")</f>
        <v>Twitter for Android</v>
      </c>
      <c r="L941" s="13">
        <v>663</v>
      </c>
      <c r="M941" s="13">
        <v>925</v>
      </c>
      <c r="N941" s="13">
        <v>15</v>
      </c>
      <c r="O941" s="15"/>
      <c r="P941" s="6">
        <v>40602.931215277778</v>
      </c>
      <c r="Q941" s="16" t="s">
        <v>191</v>
      </c>
      <c r="R941" s="17" t="s">
        <v>3333</v>
      </c>
      <c r="S941" s="11" t="s">
        <v>3334</v>
      </c>
      <c r="T941" s="12"/>
      <c r="U941" s="10" t="str">
        <f>HYPERLINK("https://pbs.twimg.com/profile_images/974735434134835200/qrhUX50Q.jpg","View")</f>
        <v>View</v>
      </c>
    </row>
    <row r="942" spans="1:21" ht="20.399999999999999">
      <c r="A942" s="6">
        <v>43439.270636574074</v>
      </c>
      <c r="B942" s="7" t="str">
        <f>HYPERLINK("https://twitter.com/EP_Mundo","@EP_Mundo")</f>
        <v>@EP_Mundo</v>
      </c>
      <c r="C942" s="8" t="s">
        <v>2762</v>
      </c>
      <c r="D942" s="9" t="s">
        <v>2718</v>
      </c>
      <c r="E942" s="10" t="str">
        <f>HYPERLINK("https://twitter.com/EP_Mundo/status/1070188446269038597","1070188446269038597")</f>
        <v>1070188446269038597</v>
      </c>
      <c r="F942" s="11" t="s">
        <v>2673</v>
      </c>
      <c r="G942" s="11" t="s">
        <v>3335</v>
      </c>
      <c r="H942" s="12"/>
      <c r="I942" s="13">
        <v>1</v>
      </c>
      <c r="J942" s="13">
        <v>0</v>
      </c>
      <c r="K942" s="14" t="str">
        <f>HYPERLINK("http://epmundo.com","Tuiteo TOP EP (2)")</f>
        <v>Tuiteo TOP EP (2)</v>
      </c>
      <c r="L942" s="13">
        <v>510219</v>
      </c>
      <c r="M942" s="13">
        <v>301867</v>
      </c>
      <c r="N942" s="13">
        <v>1363</v>
      </c>
      <c r="O942" s="15"/>
      <c r="P942" s="6">
        <v>40203.223078703704</v>
      </c>
      <c r="Q942" s="12"/>
      <c r="R942" s="17" t="s">
        <v>2764</v>
      </c>
      <c r="S942" s="11" t="s">
        <v>2765</v>
      </c>
      <c r="T942" s="12"/>
      <c r="U942" s="10" t="str">
        <f>HYPERLINK("https://pbs.twimg.com/profile_images/958329583778099200/87-xiuzB.jpg","View")</f>
        <v>View</v>
      </c>
    </row>
    <row r="943" spans="1:21" ht="40.799999999999997">
      <c r="A943" s="6">
        <v>43439.269456018519</v>
      </c>
      <c r="B943" s="7" t="str">
        <f>HYPERLINK("https://twitter.com/ESdiario_com","@ESdiario_com")</f>
        <v>@ESdiario_com</v>
      </c>
      <c r="C943" s="8" t="s">
        <v>3336</v>
      </c>
      <c r="D943" s="9" t="s">
        <v>3337</v>
      </c>
      <c r="E943" s="10" t="str">
        <f>HYPERLINK("https://twitter.com/ESdiario_com/status/1070188018961711104","1070188018961711104")</f>
        <v>1070188018961711104</v>
      </c>
      <c r="F943" s="11" t="s">
        <v>3285</v>
      </c>
      <c r="G943" s="12"/>
      <c r="H943" s="12"/>
      <c r="I943" s="13">
        <v>3</v>
      </c>
      <c r="J943" s="13">
        <v>1</v>
      </c>
      <c r="K943" s="14" t="str">
        <f>HYPERLINK("http://twitter.com/#!/download/ipad","Twitter for iPad")</f>
        <v>Twitter for iPad</v>
      </c>
      <c r="L943" s="13">
        <v>30936</v>
      </c>
      <c r="M943" s="13">
        <v>707</v>
      </c>
      <c r="N943" s="13">
        <v>497</v>
      </c>
      <c r="O943" s="15"/>
      <c r="P943" s="6">
        <v>40584.500949074078</v>
      </c>
      <c r="Q943" s="16" t="s">
        <v>232</v>
      </c>
      <c r="R943" s="17" t="s">
        <v>3338</v>
      </c>
      <c r="S943" s="11" t="s">
        <v>3339</v>
      </c>
      <c r="T943" s="12"/>
      <c r="U943" s="10" t="str">
        <f>HYPERLINK("https://pbs.twimg.com/profile_images/708363281308753920/7qh3akOb.jpg","View")</f>
        <v>View</v>
      </c>
    </row>
    <row r="944" spans="1:21" ht="30.6">
      <c r="A944" s="6">
        <v>43439.253310185188</v>
      </c>
      <c r="B944" s="7" t="str">
        <f>HYPERLINK("https://twitter.com/renio01","@renio01")</f>
        <v>@renio01</v>
      </c>
      <c r="C944" s="8" t="s">
        <v>3340</v>
      </c>
      <c r="D944" s="9" t="s">
        <v>3341</v>
      </c>
      <c r="E944" s="10" t="str">
        <f>HYPERLINK("https://twitter.com/renio01/status/1070182168989708288","1070182168989708288")</f>
        <v>1070182168989708288</v>
      </c>
      <c r="F944" s="11" t="s">
        <v>2917</v>
      </c>
      <c r="G944" s="11" t="s">
        <v>3342</v>
      </c>
      <c r="H944" s="12"/>
      <c r="I944" s="13">
        <v>0</v>
      </c>
      <c r="J944" s="13">
        <v>0</v>
      </c>
      <c r="K944" s="14" t="str">
        <f>HYPERLINK("https://mobile.twitter.com","Twitter Lite")</f>
        <v>Twitter Lite</v>
      </c>
      <c r="L944" s="13">
        <v>130</v>
      </c>
      <c r="M944" s="13">
        <v>12</v>
      </c>
      <c r="N944" s="13">
        <v>4</v>
      </c>
      <c r="O944" s="15"/>
      <c r="P944" s="6">
        <v>42538.611747685187</v>
      </c>
      <c r="Q944" s="12"/>
      <c r="R944" s="20"/>
      <c r="S944" s="12"/>
      <c r="T944" s="12"/>
      <c r="U944" s="10" t="str">
        <f>HYPERLINK("https://pbs.twimg.com/profile_images/1009510334036697089/FZ_VV0_j.jpg","View")</f>
        <v>View</v>
      </c>
    </row>
    <row r="945" spans="1:21" ht="40.799999999999997">
      <c r="A945" s="6">
        <v>43439.244050925925</v>
      </c>
      <c r="B945" s="7" t="str">
        <f>HYPERLINK("https://twitter.com/GobernoAlem","@GobernoAlem")</f>
        <v>@GobernoAlem</v>
      </c>
      <c r="C945" s="8" t="s">
        <v>3343</v>
      </c>
      <c r="D945" s="9" t="s">
        <v>3344</v>
      </c>
      <c r="E945" s="10" t="str">
        <f>HYPERLINK("https://twitter.com/GobernoAlem/status/1070178813789831169","1070178813789831169")</f>
        <v>1070178813789831169</v>
      </c>
      <c r="F945" s="12"/>
      <c r="G945" s="12"/>
      <c r="H945" s="12"/>
      <c r="I945" s="13">
        <v>155</v>
      </c>
      <c r="J945" s="13">
        <v>485</v>
      </c>
      <c r="K945" s="14" t="str">
        <f>HYPERLINK("http://twitter.com/download/android","Twitter for Android")</f>
        <v>Twitter for Android</v>
      </c>
      <c r="L945" s="13">
        <v>104536</v>
      </c>
      <c r="M945" s="13">
        <v>4500</v>
      </c>
      <c r="N945" s="13">
        <v>636</v>
      </c>
      <c r="O945" s="15"/>
      <c r="P945" s="6">
        <v>41115.340578703705</v>
      </c>
      <c r="Q945" s="16" t="s">
        <v>3345</v>
      </c>
      <c r="R945" s="17" t="s">
        <v>3346</v>
      </c>
      <c r="S945" s="12"/>
      <c r="T945" s="12"/>
      <c r="U945" s="10" t="str">
        <f>HYPERLINK("https://pbs.twimg.com/profile_images/1060281216342130697/IGhMPQEV.jpg","View")</f>
        <v>View</v>
      </c>
    </row>
    <row r="946" spans="1:21" ht="13.2">
      <c r="A946" s="6">
        <v>43439.219351851847</v>
      </c>
      <c r="B946" s="7" t="str">
        <f>HYPERLINK("https://twitter.com/NotiPicante","@NotiPicante")</f>
        <v>@NotiPicante</v>
      </c>
      <c r="C946" s="8" t="s">
        <v>3347</v>
      </c>
      <c r="D946" s="9" t="s">
        <v>2672</v>
      </c>
      <c r="E946" s="10" t="str">
        <f>HYPERLINK("https://twitter.com/NotiPicante/status/1070169860569735168","1070169860569735168")</f>
        <v>1070169860569735168</v>
      </c>
      <c r="F946" s="11" t="s">
        <v>2719</v>
      </c>
      <c r="G946" s="11" t="s">
        <v>3348</v>
      </c>
      <c r="H946" s="12"/>
      <c r="I946" s="13">
        <v>0</v>
      </c>
      <c r="J946" s="13">
        <v>0</v>
      </c>
      <c r="K946" s="14" t="str">
        <f>HYPERLINK("http://epmundo.com","Tuiteo TOP EP (3)")</f>
        <v>Tuiteo TOP EP (3)</v>
      </c>
      <c r="L946" s="13">
        <v>24470</v>
      </c>
      <c r="M946" s="13">
        <v>24659</v>
      </c>
      <c r="N946" s="13">
        <v>63</v>
      </c>
      <c r="O946" s="15"/>
      <c r="P946" s="6">
        <v>42324.12436342593</v>
      </c>
      <c r="Q946" s="12"/>
      <c r="R946" s="17" t="s">
        <v>3349</v>
      </c>
      <c r="S946" s="12"/>
      <c r="T946" s="12"/>
      <c r="U946" s="10" t="str">
        <f>HYPERLINK("https://pbs.twimg.com/profile_images/913473995177111552/dTJMr2fE.jpg","View")</f>
        <v>View</v>
      </c>
    </row>
    <row r="947" spans="1:21" ht="40.799999999999997">
      <c r="A947" s="6">
        <v>43439.213587962964</v>
      </c>
      <c r="B947" s="7" t="str">
        <f>HYPERLINK("https://twitter.com/mfaebuy","@mfaebuy")</f>
        <v>@mfaebuy</v>
      </c>
      <c r="C947" s="8" t="s">
        <v>3350</v>
      </c>
      <c r="D947" s="9" t="s">
        <v>3351</v>
      </c>
      <c r="E947" s="10" t="str">
        <f>HYPERLINK("https://twitter.com/mfaebuy/status/1070167772045426688","1070167772045426688")</f>
        <v>1070167772045426688</v>
      </c>
      <c r="F947" s="11" t="s">
        <v>3352</v>
      </c>
      <c r="G947" s="12"/>
      <c r="H947" s="12"/>
      <c r="I947" s="13">
        <v>0</v>
      </c>
      <c r="J947" s="13">
        <v>0</v>
      </c>
      <c r="K947" s="14" t="str">
        <f>HYPERLINK("http://www.facebook.com/twitter","Facebook")</f>
        <v>Facebook</v>
      </c>
      <c r="L947" s="13">
        <v>80</v>
      </c>
      <c r="M947" s="13">
        <v>58</v>
      </c>
      <c r="N947" s="13">
        <v>1</v>
      </c>
      <c r="O947" s="15"/>
      <c r="P947" s="6">
        <v>41513.405821759261</v>
      </c>
      <c r="Q947" s="16">
        <v>59894390321</v>
      </c>
      <c r="R947" s="17" t="s">
        <v>3353</v>
      </c>
      <c r="S947" s="11" t="s">
        <v>3354</v>
      </c>
      <c r="T947" s="12"/>
      <c r="U947" s="10" t="str">
        <f>HYPERLINK("https://pbs.twimg.com/profile_images/925675091211575296/3CuApqTP.jpg","View")</f>
        <v>View</v>
      </c>
    </row>
    <row r="948" spans="1:21" ht="20.399999999999999">
      <c r="A948" s="6">
        <v>43439.181585648148</v>
      </c>
      <c r="B948" s="7" t="str">
        <f>HYPERLINK("https://twitter.com/Cupcakes_News","@Cupcakes_News")</f>
        <v>@Cupcakes_News</v>
      </c>
      <c r="C948" s="8" t="s">
        <v>3355</v>
      </c>
      <c r="D948" s="9" t="s">
        <v>2672</v>
      </c>
      <c r="E948" s="10" t="str">
        <f>HYPERLINK("https://twitter.com/Cupcakes_News/status/1070156175071739904","1070156175071739904")</f>
        <v>1070156175071739904</v>
      </c>
      <c r="F948" s="11" t="s">
        <v>2719</v>
      </c>
      <c r="G948" s="11" t="s">
        <v>3356</v>
      </c>
      <c r="H948" s="12"/>
      <c r="I948" s="13">
        <v>0</v>
      </c>
      <c r="J948" s="13">
        <v>0</v>
      </c>
      <c r="K948" s="14" t="str">
        <f>HYPERLINK("http://epmundo.com","Tuiteo TOP EP (3)")</f>
        <v>Tuiteo TOP EP (3)</v>
      </c>
      <c r="L948" s="13">
        <v>44510</v>
      </c>
      <c r="M948" s="13">
        <v>45277</v>
      </c>
      <c r="N948" s="13">
        <v>120</v>
      </c>
      <c r="O948" s="15"/>
      <c r="P948" s="6">
        <v>42165.118518518517</v>
      </c>
      <c r="Q948" s="12"/>
      <c r="R948" s="17" t="s">
        <v>3357</v>
      </c>
      <c r="S948" s="12"/>
      <c r="T948" s="12"/>
      <c r="U948" s="10" t="str">
        <f>HYPERLINK("https://pbs.twimg.com/profile_images/913075190007025665/Ia12CA8o.jpg","View")</f>
        <v>View</v>
      </c>
    </row>
    <row r="949" spans="1:21" ht="30.6">
      <c r="A949" s="6">
        <v>43439.176921296297</v>
      </c>
      <c r="B949" s="7" t="str">
        <f>HYPERLINK("https://twitter.com/periodicovzlano","@periodicovzlano")</f>
        <v>@periodicovzlano</v>
      </c>
      <c r="C949" s="8" t="s">
        <v>2671</v>
      </c>
      <c r="D949" s="9" t="s">
        <v>2672</v>
      </c>
      <c r="E949" s="10" t="str">
        <f>HYPERLINK("https://twitter.com/periodicovzlano/status/1070154485207580672","1070154485207580672")</f>
        <v>1070154485207580672</v>
      </c>
      <c r="F949" s="11" t="s">
        <v>2673</v>
      </c>
      <c r="G949" s="11" t="s">
        <v>3358</v>
      </c>
      <c r="H949" s="12"/>
      <c r="I949" s="13">
        <v>1</v>
      </c>
      <c r="J949" s="13">
        <v>0</v>
      </c>
      <c r="K949" s="14" t="str">
        <f>HYPERLINK("http://epmundo.com","Tuiteo TOP EP (1)")</f>
        <v>Tuiteo TOP EP (1)</v>
      </c>
      <c r="L949" s="13">
        <v>479694</v>
      </c>
      <c r="M949" s="13">
        <v>358804</v>
      </c>
      <c r="N949" s="13">
        <v>1295</v>
      </c>
      <c r="O949" s="15"/>
      <c r="P949" s="6">
        <v>40663.3512962963</v>
      </c>
      <c r="Q949" s="16" t="s">
        <v>861</v>
      </c>
      <c r="R949" s="17" t="s">
        <v>2675</v>
      </c>
      <c r="S949" s="11" t="s">
        <v>2676</v>
      </c>
      <c r="T949" s="12"/>
      <c r="U949" s="10" t="str">
        <f>HYPERLINK("https://pbs.twimg.com/profile_images/958328579250638849/MCz7Q8U6.jpg","View")</f>
        <v>View</v>
      </c>
    </row>
    <row r="950" spans="1:21" ht="20.399999999999999">
      <c r="A950" s="6">
        <v>43439.165798611109</v>
      </c>
      <c r="B950" s="7" t="str">
        <f>HYPERLINK("https://twitter.com/EspanaActual","@EspanaActual")</f>
        <v>@EspanaActual</v>
      </c>
      <c r="C950" s="8" t="s">
        <v>1303</v>
      </c>
      <c r="D950" s="9" t="s">
        <v>2916</v>
      </c>
      <c r="E950" s="10" t="str">
        <f>HYPERLINK("https://twitter.com/EspanaActual/status/1070150453567078400","1070150453567078400")</f>
        <v>1070150453567078400</v>
      </c>
      <c r="F950" s="11" t="s">
        <v>2917</v>
      </c>
      <c r="G950" s="12"/>
      <c r="H950" s="12"/>
      <c r="I950" s="13">
        <v>0</v>
      </c>
      <c r="J950" s="13">
        <v>0</v>
      </c>
      <c r="K950" s="14" t="str">
        <f>HYPERLINK("http://www.wonderland.fm/","wonderland.fm")</f>
        <v>wonderland.fm</v>
      </c>
      <c r="L950" s="13">
        <v>255</v>
      </c>
      <c r="M950" s="13">
        <v>0</v>
      </c>
      <c r="N950" s="13">
        <v>5</v>
      </c>
      <c r="O950" s="15"/>
      <c r="P950" s="6">
        <v>41357.845486111109</v>
      </c>
      <c r="Q950" s="16" t="s">
        <v>48</v>
      </c>
      <c r="R950" s="17" t="s">
        <v>1304</v>
      </c>
      <c r="S950" s="12"/>
      <c r="T950" s="12"/>
      <c r="U950" s="10" t="str">
        <f>HYPERLINK("https://pbs.twimg.com/profile_images/745695516982378496/lAlJBkNT.jpg","View")</f>
        <v>View</v>
      </c>
    </row>
    <row r="951" spans="1:21" ht="20.399999999999999">
      <c r="A951" s="6">
        <v>43439.161562499998</v>
      </c>
      <c r="B951" s="7" t="str">
        <f>HYPERLINK("https://twitter.com/EP_Mundo","@EP_Mundo")</f>
        <v>@EP_Mundo</v>
      </c>
      <c r="C951" s="8" t="s">
        <v>2762</v>
      </c>
      <c r="D951" s="9" t="s">
        <v>2718</v>
      </c>
      <c r="E951" s="10" t="str">
        <f>HYPERLINK("https://twitter.com/EP_Mundo/status/1070148921706643456","1070148921706643456")</f>
        <v>1070148921706643456</v>
      </c>
      <c r="F951" s="11" t="s">
        <v>2673</v>
      </c>
      <c r="G951" s="11" t="s">
        <v>3359</v>
      </c>
      <c r="H951" s="12"/>
      <c r="I951" s="13">
        <v>0</v>
      </c>
      <c r="J951" s="13">
        <v>0</v>
      </c>
      <c r="K951" s="14" t="str">
        <f>HYPERLINK("http://epmundo.com","Tuiteo TOP EP (2)")</f>
        <v>Tuiteo TOP EP (2)</v>
      </c>
      <c r="L951" s="13">
        <v>510219</v>
      </c>
      <c r="M951" s="13">
        <v>301867</v>
      </c>
      <c r="N951" s="13">
        <v>1363</v>
      </c>
      <c r="O951" s="15"/>
      <c r="P951" s="6">
        <v>40203.223078703704</v>
      </c>
      <c r="Q951" s="12"/>
      <c r="R951" s="17" t="s">
        <v>2764</v>
      </c>
      <c r="S951" s="11" t="s">
        <v>2765</v>
      </c>
      <c r="T951" s="12"/>
      <c r="U951" s="10" t="str">
        <f>HYPERLINK("https://pbs.twimg.com/profile_images/958329583778099200/87-xiuzB.jpg","View")</f>
        <v>View</v>
      </c>
    </row>
    <row r="952" spans="1:21" ht="30.6">
      <c r="A952" s="6">
        <v>43439.153379629628</v>
      </c>
      <c r="B952" s="7" t="str">
        <f>HYPERLINK("https://twitter.com/delCojonBrivon","@delCojonBrivon")</f>
        <v>@delCojonBrivon</v>
      </c>
      <c r="C952" s="8" t="s">
        <v>3360</v>
      </c>
      <c r="D952" s="9" t="s">
        <v>3361</v>
      </c>
      <c r="E952" s="10" t="str">
        <f>HYPERLINK("https://twitter.com/delCojonBrivon/status/1070145956321128448","1070145956321128448")</f>
        <v>1070145956321128448</v>
      </c>
      <c r="F952" s="11" t="s">
        <v>2917</v>
      </c>
      <c r="G952" s="12"/>
      <c r="H952" s="12"/>
      <c r="I952" s="13">
        <v>10</v>
      </c>
      <c r="J952" s="13">
        <v>22</v>
      </c>
      <c r="K952" s="14" t="str">
        <f>HYPERLINK("http://twitter.com/download/iphone","Twitter for iPhone")</f>
        <v>Twitter for iPhone</v>
      </c>
      <c r="L952" s="13">
        <v>5825</v>
      </c>
      <c r="M952" s="13">
        <v>5884</v>
      </c>
      <c r="N952" s="13">
        <v>3</v>
      </c>
      <c r="O952" s="15"/>
      <c r="P952" s="6">
        <v>41893.563356481478</v>
      </c>
      <c r="Q952" s="16" t="s">
        <v>3362</v>
      </c>
      <c r="R952" s="17" t="s">
        <v>3363</v>
      </c>
      <c r="S952" s="12"/>
      <c r="T952" s="12"/>
      <c r="U952" s="10" t="str">
        <f>HYPERLINK("https://pbs.twimg.com/profile_images/909530757546364928/FrVIy5oY.jpg","View")</f>
        <v>View</v>
      </c>
    </row>
    <row r="953" spans="1:21" ht="30.6">
      <c r="A953" s="6">
        <v>43439.153368055559</v>
      </c>
      <c r="B953" s="7" t="str">
        <f>HYPERLINK("https://twitter.com/Vespertina1","@Vespertina1")</f>
        <v>@Vespertina1</v>
      </c>
      <c r="C953" s="8" t="s">
        <v>3364</v>
      </c>
      <c r="D953" s="9" t="s">
        <v>3365</v>
      </c>
      <c r="E953" s="10" t="str">
        <f>HYPERLINK("https://twitter.com/Vespertina1/status/1070145948737773568","1070145948737773568")</f>
        <v>1070145948737773568</v>
      </c>
      <c r="F953" s="11" t="s">
        <v>3366</v>
      </c>
      <c r="G953" s="12"/>
      <c r="H953" s="12"/>
      <c r="I953" s="13">
        <v>1</v>
      </c>
      <c r="J953" s="13">
        <v>0</v>
      </c>
      <c r="K953" s="14" t="str">
        <f>HYPERLINK("http://twitter.com","Twitter Web Client")</f>
        <v>Twitter Web Client</v>
      </c>
      <c r="L953" s="13">
        <v>4104</v>
      </c>
      <c r="M953" s="13">
        <v>3400</v>
      </c>
      <c r="N953" s="13">
        <v>50</v>
      </c>
      <c r="O953" s="15"/>
      <c r="P953" s="6">
        <v>40970.787766203706</v>
      </c>
      <c r="Q953" s="16" t="s">
        <v>191</v>
      </c>
      <c r="R953" s="17" t="s">
        <v>3367</v>
      </c>
      <c r="S953" s="12"/>
      <c r="T953" s="12"/>
      <c r="U953" s="10" t="str">
        <f>HYPERLINK("https://pbs.twimg.com/profile_images/942757067290566657/aGMtO_C0.jpg","View")</f>
        <v>View</v>
      </c>
    </row>
    <row r="954" spans="1:21" ht="20.399999999999999">
      <c r="A954" s="6">
        <v>43439.15243055555</v>
      </c>
      <c r="B954" s="7" t="str">
        <f>HYPERLINK("https://twitter.com/NEWSANTANDER","@NEWSANTANDER")</f>
        <v>@NEWSANTANDER</v>
      </c>
      <c r="C954" s="8" t="s">
        <v>3368</v>
      </c>
      <c r="D954" s="9" t="s">
        <v>3369</v>
      </c>
      <c r="E954" s="10" t="str">
        <f>HYPERLINK("https://twitter.com/NEWSANTANDER/status/1070145609896587265","1070145609896587265")</f>
        <v>1070145609896587265</v>
      </c>
      <c r="F954" s="11" t="s">
        <v>3370</v>
      </c>
      <c r="G954" s="12"/>
      <c r="H954" s="12"/>
      <c r="I954" s="13">
        <v>0</v>
      </c>
      <c r="J954" s="13">
        <v>0</v>
      </c>
      <c r="K954" s="14" t="str">
        <f>HYPERLINK("http://publicize.wp.com/","WordPress.com")</f>
        <v>WordPress.com</v>
      </c>
      <c r="L954" s="13">
        <v>2719</v>
      </c>
      <c r="M954" s="13">
        <v>2678</v>
      </c>
      <c r="N954" s="13">
        <v>22</v>
      </c>
      <c r="O954" s="15"/>
      <c r="P954" s="6">
        <v>42254.827662037038</v>
      </c>
      <c r="Q954" s="12"/>
      <c r="R954" s="20"/>
      <c r="S954" s="12"/>
      <c r="T954" s="12"/>
      <c r="U954" s="10" t="str">
        <f>HYPERLINK("https://pbs.twimg.com/profile_images/640946719002361856/uwfBU4CB.jpg","View")</f>
        <v>View</v>
      </c>
    </row>
    <row r="955" spans="1:21" ht="20.399999999999999">
      <c r="A955" s="6">
        <v>43439.123715277776</v>
      </c>
      <c r="B955" s="7" t="str">
        <f>HYPERLINK("https://twitter.com/bit_media","@bit_media")</f>
        <v>@bit_media</v>
      </c>
      <c r="C955" s="8" t="s">
        <v>1322</v>
      </c>
      <c r="D955" s="9" t="s">
        <v>2916</v>
      </c>
      <c r="E955" s="10" t="str">
        <f>HYPERLINK("https://twitter.com/bit_media/status/1070135205208428544","1070135205208428544")</f>
        <v>1070135205208428544</v>
      </c>
      <c r="F955" s="11" t="s">
        <v>3371</v>
      </c>
      <c r="G955" s="12"/>
      <c r="H955" s="12"/>
      <c r="I955" s="13">
        <v>0</v>
      </c>
      <c r="J955" s="13">
        <v>0</v>
      </c>
      <c r="K955" s="14" t="str">
        <f>HYPERLINK("http://www.noticiasbit.com","Noticias Bit")</f>
        <v>Noticias Bit</v>
      </c>
      <c r="L955" s="13">
        <v>87</v>
      </c>
      <c r="M955" s="13">
        <v>25</v>
      </c>
      <c r="N955" s="13">
        <v>13</v>
      </c>
      <c r="O955" s="15"/>
      <c r="P955" s="6">
        <v>42087.166678240741</v>
      </c>
      <c r="Q955" s="12"/>
      <c r="R955" s="17" t="s">
        <v>1325</v>
      </c>
      <c r="S955" s="12"/>
      <c r="T955" s="12"/>
      <c r="U955" s="10" t="str">
        <f>HYPERLINK("https://pbs.twimg.com/profile_images/580213204497899520/H1MpreLw.png","View")</f>
        <v>View</v>
      </c>
    </row>
    <row r="956" spans="1:21" ht="30.6">
      <c r="A956" s="6">
        <v>43439.114687499998</v>
      </c>
      <c r="B956" s="7" t="str">
        <f>HYPERLINK("https://twitter.com/VOXgijon","@VOXgijon")</f>
        <v>@VOXgijon</v>
      </c>
      <c r="C956" s="8" t="s">
        <v>3372</v>
      </c>
      <c r="D956" s="9" t="s">
        <v>3373</v>
      </c>
      <c r="E956" s="10" t="str">
        <f>HYPERLINK("https://twitter.com/VOXgijon/status/1070131932573458432","1070131932573458432")</f>
        <v>1070131932573458432</v>
      </c>
      <c r="F956" s="11" t="s">
        <v>3374</v>
      </c>
      <c r="G956" s="12"/>
      <c r="H956" s="12"/>
      <c r="I956" s="13">
        <v>2</v>
      </c>
      <c r="J956" s="13">
        <v>3</v>
      </c>
      <c r="K956" s="14" t="str">
        <f>HYPERLINK("http://twitter.com/download/iphone","Twitter for iPhone")</f>
        <v>Twitter for iPhone</v>
      </c>
      <c r="L956" s="13">
        <v>331</v>
      </c>
      <c r="M956" s="13">
        <v>183</v>
      </c>
      <c r="N956" s="13">
        <v>1</v>
      </c>
      <c r="O956" s="15"/>
      <c r="P956" s="6">
        <v>43237.660810185189</v>
      </c>
      <c r="Q956" s="16" t="s">
        <v>3375</v>
      </c>
      <c r="R956" s="17" t="s">
        <v>3376</v>
      </c>
      <c r="S956" s="11" t="s">
        <v>3377</v>
      </c>
      <c r="T956" s="12"/>
      <c r="U956" s="10" t="str">
        <f>HYPERLINK("https://pbs.twimg.com/profile_images/1024572068568985600/hkCAr7zG.jpg","View")</f>
        <v>View</v>
      </c>
    </row>
    <row r="957" spans="1:21" ht="20.399999999999999">
      <c r="A957" s="6">
        <v>43439.106319444443</v>
      </c>
      <c r="B957" s="7" t="str">
        <f>HYPERLINK("https://twitter.com/adelacafe93","@adelacafe93")</f>
        <v>@adelacafe93</v>
      </c>
      <c r="C957" s="8" t="s">
        <v>322</v>
      </c>
      <c r="D957" s="9" t="s">
        <v>2916</v>
      </c>
      <c r="E957" s="10" t="str">
        <f>HYPERLINK("https://twitter.com/adelacafe93/status/1070128900011974656","1070128900011974656")</f>
        <v>1070128900011974656</v>
      </c>
      <c r="F957" s="11" t="s">
        <v>3378</v>
      </c>
      <c r="G957" s="12"/>
      <c r="H957" s="12"/>
      <c r="I957" s="13">
        <v>0</v>
      </c>
      <c r="J957" s="13">
        <v>0</v>
      </c>
      <c r="K957" s="14" t="str">
        <f t="shared" ref="K957:K958" si="165">HYPERLINK("https://ifttt.com","IFTTT")</f>
        <v>IFTTT</v>
      </c>
      <c r="L957" s="13">
        <v>18</v>
      </c>
      <c r="M957" s="13">
        <v>47</v>
      </c>
      <c r="N957" s="13">
        <v>0</v>
      </c>
      <c r="O957" s="15"/>
      <c r="P957" s="6">
        <v>42761.615034722221</v>
      </c>
      <c r="Q957" s="16" t="s">
        <v>326</v>
      </c>
      <c r="R957" s="17" t="s">
        <v>327</v>
      </c>
      <c r="S957" s="12"/>
      <c r="T957" s="12"/>
      <c r="U957" s="10" t="str">
        <f>HYPERLINK("https://pbs.twimg.com/profile_images/824614694078013444/fkDV_Y0Z.jpg","View")</f>
        <v>View</v>
      </c>
    </row>
    <row r="958" spans="1:21" ht="20.399999999999999">
      <c r="A958" s="6">
        <v>43439.105081018519</v>
      </c>
      <c r="B958" s="7" t="str">
        <f>HYPERLINK("https://twitter.com/titulares24hora","@titulares24hora")</f>
        <v>@titulares24hora</v>
      </c>
      <c r="C958" s="8" t="s">
        <v>352</v>
      </c>
      <c r="D958" s="9" t="s">
        <v>2916</v>
      </c>
      <c r="E958" s="10" t="str">
        <f>HYPERLINK("https://twitter.com/titulares24hora/status/1070128451376549888","1070128451376549888")</f>
        <v>1070128451376549888</v>
      </c>
      <c r="F958" s="12"/>
      <c r="G958" s="12"/>
      <c r="H958" s="12"/>
      <c r="I958" s="13">
        <v>0</v>
      </c>
      <c r="J958" s="13">
        <v>0</v>
      </c>
      <c r="K958" s="14" t="str">
        <f t="shared" si="165"/>
        <v>IFTTT</v>
      </c>
      <c r="L958" s="13">
        <v>394</v>
      </c>
      <c r="M958" s="13">
        <v>1462</v>
      </c>
      <c r="N958" s="13">
        <v>2</v>
      </c>
      <c r="O958" s="15"/>
      <c r="P958" s="6">
        <v>42508.446805555555</v>
      </c>
      <c r="Q958" s="12"/>
      <c r="R958" s="17" t="s">
        <v>355</v>
      </c>
      <c r="S958" s="12"/>
      <c r="T958" s="12"/>
      <c r="U958" s="10" t="str">
        <f>HYPERLINK("https://pbs.twimg.com/profile_images/732855169034166272/A8O2LY2J.jpg","View")</f>
        <v>View</v>
      </c>
    </row>
    <row r="959" spans="1:21" ht="20.399999999999999">
      <c r="A959" s="6">
        <v>43439.097175925926</v>
      </c>
      <c r="B959" s="7" t="str">
        <f>HYPERLINK("https://twitter.com/EP_Mundo","@EP_Mundo")</f>
        <v>@EP_Mundo</v>
      </c>
      <c r="C959" s="8" t="s">
        <v>2762</v>
      </c>
      <c r="D959" s="9" t="s">
        <v>2718</v>
      </c>
      <c r="E959" s="10" t="str">
        <f>HYPERLINK("https://twitter.com/EP_Mundo/status/1070125587862298625","1070125587862298625")</f>
        <v>1070125587862298625</v>
      </c>
      <c r="F959" s="11" t="s">
        <v>2673</v>
      </c>
      <c r="G959" s="11" t="s">
        <v>3379</v>
      </c>
      <c r="H959" s="12"/>
      <c r="I959" s="13">
        <v>0</v>
      </c>
      <c r="J959" s="13">
        <v>0</v>
      </c>
      <c r="K959" s="14" t="str">
        <f>HYPERLINK("http://epmundo.com","Tuiteo TOP EP (2)")</f>
        <v>Tuiteo TOP EP (2)</v>
      </c>
      <c r="L959" s="13">
        <v>510219</v>
      </c>
      <c r="M959" s="13">
        <v>301867</v>
      </c>
      <c r="N959" s="13">
        <v>1363</v>
      </c>
      <c r="O959" s="15"/>
      <c r="P959" s="6">
        <v>40203.223078703704</v>
      </c>
      <c r="Q959" s="12"/>
      <c r="R959" s="17" t="s">
        <v>2764</v>
      </c>
      <c r="S959" s="11" t="s">
        <v>2765</v>
      </c>
      <c r="T959" s="12"/>
      <c r="U959" s="10" t="str">
        <f>HYPERLINK("https://pbs.twimg.com/profile_images/958329583778099200/87-xiuzB.jpg","View")</f>
        <v>View</v>
      </c>
    </row>
    <row r="960" spans="1:21" ht="30.6">
      <c r="A960" s="6">
        <v>43439.085902777777</v>
      </c>
      <c r="B960" s="7" t="str">
        <f>HYPERLINK("https://twitter.com/periodicovzlano","@periodicovzlano")</f>
        <v>@periodicovzlano</v>
      </c>
      <c r="C960" s="8" t="s">
        <v>2671</v>
      </c>
      <c r="D960" s="9" t="s">
        <v>2672</v>
      </c>
      <c r="E960" s="10" t="str">
        <f>HYPERLINK("https://twitter.com/periodicovzlano/status/1070121499951095810","1070121499951095810")</f>
        <v>1070121499951095810</v>
      </c>
      <c r="F960" s="11" t="s">
        <v>2673</v>
      </c>
      <c r="G960" s="11" t="s">
        <v>3380</v>
      </c>
      <c r="H960" s="12"/>
      <c r="I960" s="13">
        <v>0</v>
      </c>
      <c r="J960" s="13">
        <v>0</v>
      </c>
      <c r="K960" s="14" t="str">
        <f>HYPERLINK("http://epmundo.com","Tuiteo TOP EP (1)")</f>
        <v>Tuiteo TOP EP (1)</v>
      </c>
      <c r="L960" s="13">
        <v>479694</v>
      </c>
      <c r="M960" s="13">
        <v>358804</v>
      </c>
      <c r="N960" s="13">
        <v>1295</v>
      </c>
      <c r="O960" s="15"/>
      <c r="P960" s="6">
        <v>40663.3512962963</v>
      </c>
      <c r="Q960" s="16" t="s">
        <v>861</v>
      </c>
      <c r="R960" s="17" t="s">
        <v>2675</v>
      </c>
      <c r="S960" s="11" t="s">
        <v>2676</v>
      </c>
      <c r="T960" s="12"/>
      <c r="U960" s="10" t="str">
        <f>HYPERLINK("https://pbs.twimg.com/profile_images/958328579250638849/MCz7Q8U6.jpg","View")</f>
        <v>View</v>
      </c>
    </row>
    <row r="961" spans="1:21" ht="51">
      <c r="A961" s="6">
        <v>43439.071458333332</v>
      </c>
      <c r="B961" s="7" t="str">
        <f>HYPERLINK("https://twitter.com/losRetuiters","@losRetuiters")</f>
        <v>@losRetuiters</v>
      </c>
      <c r="C961" s="8" t="s">
        <v>3381</v>
      </c>
      <c r="D961" s="9" t="s">
        <v>3382</v>
      </c>
      <c r="E961" s="10" t="str">
        <f>HYPERLINK("https://twitter.com/losRetuiters/status/1070116268399845378","1070116268399845378")</f>
        <v>1070116268399845378</v>
      </c>
      <c r="F961" s="12"/>
      <c r="G961" s="12"/>
      <c r="H961" s="12"/>
      <c r="I961" s="13">
        <v>0</v>
      </c>
      <c r="J961" s="13">
        <v>0</v>
      </c>
      <c r="K961" s="14" t="str">
        <f>HYPERLINK("https://zapier.com/","Zapier.com")</f>
        <v>Zapier.com</v>
      </c>
      <c r="L961" s="13">
        <v>1</v>
      </c>
      <c r="M961" s="13">
        <v>0</v>
      </c>
      <c r="N961" s="13">
        <v>1</v>
      </c>
      <c r="O961" s="15"/>
      <c r="P961" s="6">
        <v>43020.506666666668</v>
      </c>
      <c r="Q961" s="12"/>
      <c r="R961" s="20"/>
      <c r="S961" s="12"/>
      <c r="T961" s="12"/>
      <c r="U961" s="19" t="s">
        <v>359</v>
      </c>
    </row>
    <row r="962" spans="1:21" ht="20.399999999999999">
      <c r="A962" s="6">
        <v>43439.062835648147</v>
      </c>
      <c r="B962" s="7" t="str">
        <f>HYPERLINK("https://twitter.com/EP_Espana_","@EP_Espana_")</f>
        <v>@EP_Espana_</v>
      </c>
      <c r="C962" s="8" t="s">
        <v>3383</v>
      </c>
      <c r="D962" s="9" t="s">
        <v>3384</v>
      </c>
      <c r="E962" s="10" t="str">
        <f>HYPERLINK("https://twitter.com/EP_Espana_/status/1070113143249096704","1070113143249096704")</f>
        <v>1070113143249096704</v>
      </c>
      <c r="F962" s="11" t="s">
        <v>2719</v>
      </c>
      <c r="G962" s="11" t="s">
        <v>3385</v>
      </c>
      <c r="H962" s="12"/>
      <c r="I962" s="13">
        <v>0</v>
      </c>
      <c r="J962" s="13">
        <v>0</v>
      </c>
      <c r="K962" s="14" t="str">
        <f>HYPERLINK("http://epmundo.com","Tuiteo TOP EP (3)")</f>
        <v>Tuiteo TOP EP (3)</v>
      </c>
      <c r="L962" s="13">
        <v>19163</v>
      </c>
      <c r="M962" s="13">
        <v>18912</v>
      </c>
      <c r="N962" s="13">
        <v>86</v>
      </c>
      <c r="O962" s="15"/>
      <c r="P962" s="6">
        <v>42074.115219907406</v>
      </c>
      <c r="Q962" s="16" t="s">
        <v>48</v>
      </c>
      <c r="R962" s="17" t="s">
        <v>3387</v>
      </c>
      <c r="S962" s="11" t="s">
        <v>3388</v>
      </c>
      <c r="T962" s="12"/>
      <c r="U962" s="10" t="str">
        <f>HYPERLINK("https://pbs.twimg.com/profile_images/958330076885643264/bnAGi_iy.jpg","View")</f>
        <v>View</v>
      </c>
    </row>
    <row r="963" spans="1:21" ht="40.799999999999997">
      <c r="A963" s="6">
        <v>43439.057175925926</v>
      </c>
      <c r="B963" s="7" t="str">
        <f>HYPERLINK("https://twitter.com/Hoyuelicos","@Hoyuelicos")</f>
        <v>@Hoyuelicos</v>
      </c>
      <c r="C963" s="8" t="s">
        <v>3389</v>
      </c>
      <c r="D963" s="9" t="s">
        <v>3390</v>
      </c>
      <c r="E963" s="10" t="str">
        <f>HYPERLINK("https://twitter.com/Hoyuelicos/status/1070111089755611137","1070111089755611137")</f>
        <v>1070111089755611137</v>
      </c>
      <c r="F963" s="12"/>
      <c r="G963" s="12"/>
      <c r="H963" s="12"/>
      <c r="I963" s="13">
        <v>0</v>
      </c>
      <c r="J963" s="13">
        <v>5</v>
      </c>
      <c r="K963" s="14" t="str">
        <f t="shared" ref="K963:K965" si="166">HYPERLINK("http://twitter.com/download/android","Twitter for Android")</f>
        <v>Twitter for Android</v>
      </c>
      <c r="L963" s="13">
        <v>612</v>
      </c>
      <c r="M963" s="13">
        <v>255</v>
      </c>
      <c r="N963" s="13">
        <v>15</v>
      </c>
      <c r="O963" s="15"/>
      <c r="P963" s="6">
        <v>40664.780208333337</v>
      </c>
      <c r="Q963" s="16" t="s">
        <v>3391</v>
      </c>
      <c r="R963" s="17" t="s">
        <v>3392</v>
      </c>
      <c r="S963" s="11" t="s">
        <v>3393</v>
      </c>
      <c r="T963" s="12"/>
      <c r="U963" s="10" t="str">
        <f>HYPERLINK("https://pbs.twimg.com/profile_images/941000199954190336/7o59EPsk.jpg","View")</f>
        <v>View</v>
      </c>
    </row>
    <row r="964" spans="1:21" ht="51">
      <c r="A964" s="6">
        <v>43439.056851851856</v>
      </c>
      <c r="B964" s="7" t="str">
        <f>HYPERLINK("https://twitter.com/ealbert86","@ealbert86")</f>
        <v>@ealbert86</v>
      </c>
      <c r="C964" s="8" t="s">
        <v>3394</v>
      </c>
      <c r="D964" s="9" t="s">
        <v>3395</v>
      </c>
      <c r="E964" s="10" t="str">
        <f>HYPERLINK("https://twitter.com/ealbert86/status/1070110973464326149","1070110973464326149")</f>
        <v>1070110973464326149</v>
      </c>
      <c r="F964" s="12"/>
      <c r="G964" s="12"/>
      <c r="H964" s="12"/>
      <c r="I964" s="13">
        <v>1</v>
      </c>
      <c r="J964" s="13">
        <v>5</v>
      </c>
      <c r="K964" s="14" t="str">
        <f t="shared" si="166"/>
        <v>Twitter for Android</v>
      </c>
      <c r="L964" s="13">
        <v>307</v>
      </c>
      <c r="M964" s="13">
        <v>882</v>
      </c>
      <c r="N964" s="13">
        <v>14</v>
      </c>
      <c r="O964" s="15"/>
      <c r="P964" s="6">
        <v>40621.769525462965</v>
      </c>
      <c r="Q964" s="16" t="s">
        <v>3396</v>
      </c>
      <c r="R964" s="17" t="s">
        <v>3397</v>
      </c>
      <c r="S964" s="12"/>
      <c r="T964" s="12"/>
      <c r="U964" s="10" t="str">
        <f>HYPERLINK("https://pbs.twimg.com/profile_images/876412664259502080/_NpPkJTo.jpg","View")</f>
        <v>View</v>
      </c>
    </row>
    <row r="965" spans="1:21" ht="20.399999999999999">
      <c r="A965" s="6">
        <v>43439.055868055555</v>
      </c>
      <c r="B965" s="7" t="str">
        <f>HYPERLINK("https://twitter.com/Fennyx101","@Fennyx101")</f>
        <v>@Fennyx101</v>
      </c>
      <c r="C965" s="8" t="s">
        <v>3398</v>
      </c>
      <c r="D965" s="9" t="s">
        <v>3399</v>
      </c>
      <c r="E965" s="10" t="str">
        <f>HYPERLINK("https://twitter.com/Fennyx101/status/1070110618953371648","1070110618953371648")</f>
        <v>1070110618953371648</v>
      </c>
      <c r="F965" s="12"/>
      <c r="G965" s="12"/>
      <c r="H965" s="12"/>
      <c r="I965" s="13">
        <v>0</v>
      </c>
      <c r="J965" s="13">
        <v>0</v>
      </c>
      <c r="K965" s="14" t="str">
        <f t="shared" si="166"/>
        <v>Twitter for Android</v>
      </c>
      <c r="L965" s="13">
        <v>91</v>
      </c>
      <c r="M965" s="13">
        <v>206</v>
      </c>
      <c r="N965" s="13">
        <v>1</v>
      </c>
      <c r="O965" s="15"/>
      <c r="P965" s="6">
        <v>41754.551851851851</v>
      </c>
      <c r="Q965" s="16" t="s">
        <v>3400</v>
      </c>
      <c r="R965" s="17" t="s">
        <v>3401</v>
      </c>
      <c r="S965" s="11" t="s">
        <v>3402</v>
      </c>
      <c r="T965" s="12"/>
      <c r="U965" s="10" t="str">
        <f>HYPERLINK("https://pbs.twimg.com/profile_images/1052887341017325568/be40g6iX.jpg","View")</f>
        <v>View</v>
      </c>
    </row>
    <row r="966" spans="1:21" ht="13.2">
      <c r="A966" s="6">
        <v>43439.052199074074</v>
      </c>
      <c r="B966" s="7" t="str">
        <f>HYPERLINK("https://twitter.com/Chuletti2013","@Chuletti2013")</f>
        <v>@Chuletti2013</v>
      </c>
      <c r="C966" s="8" t="s">
        <v>3403</v>
      </c>
      <c r="D966" s="9" t="s">
        <v>3404</v>
      </c>
      <c r="E966" s="10" t="str">
        <f>HYPERLINK("https://twitter.com/Chuletti2013/status/1070109289040277505","1070109289040277505")</f>
        <v>1070109289040277505</v>
      </c>
      <c r="F966" s="11" t="s">
        <v>3405</v>
      </c>
      <c r="G966" s="12"/>
      <c r="H966" s="12"/>
      <c r="I966" s="13">
        <v>0</v>
      </c>
      <c r="J966" s="13">
        <v>0</v>
      </c>
      <c r="K966" s="14" t="str">
        <f>HYPERLINK("http://twitter.com/download/iphone","Twitter for iPhone")</f>
        <v>Twitter for iPhone</v>
      </c>
      <c r="L966" s="13">
        <v>2087</v>
      </c>
      <c r="M966" s="13">
        <v>1489</v>
      </c>
      <c r="N966" s="13">
        <v>22</v>
      </c>
      <c r="O966" s="15"/>
      <c r="P966" s="6">
        <v>41320.765925925924</v>
      </c>
      <c r="Q966" s="16" t="s">
        <v>3406</v>
      </c>
      <c r="R966" s="17" t="s">
        <v>3407</v>
      </c>
      <c r="S966" s="12"/>
      <c r="T966" s="12"/>
      <c r="U966" s="10" t="str">
        <f>HYPERLINK("https://pbs.twimg.com/profile_images/995125262848282624/h3jvYBzr.jpg","View")</f>
        <v>View</v>
      </c>
    </row>
    <row r="967" spans="1:21" ht="40.799999999999997">
      <c r="A967" s="6">
        <v>43439.04896990741</v>
      </c>
      <c r="B967" s="7" t="str">
        <f>HYPERLINK("https://twitter.com/TRAGATEL0","@TRAGATEL0")</f>
        <v>@TRAGATEL0</v>
      </c>
      <c r="C967" s="8" t="s">
        <v>3408</v>
      </c>
      <c r="D967" s="9" t="s">
        <v>3409</v>
      </c>
      <c r="E967" s="10" t="str">
        <f>HYPERLINK("https://twitter.com/TRAGATEL0/status/1070108116816138240","1070108116816138240")</f>
        <v>1070108116816138240</v>
      </c>
      <c r="F967" s="11" t="s">
        <v>3410</v>
      </c>
      <c r="G967" s="12"/>
      <c r="H967" s="12"/>
      <c r="I967" s="13">
        <v>1</v>
      </c>
      <c r="J967" s="13">
        <v>0</v>
      </c>
      <c r="K967" s="14" t="str">
        <f>HYPERLINK("https://www.google.com/","Google")</f>
        <v>Google</v>
      </c>
      <c r="L967" s="13">
        <v>2868</v>
      </c>
      <c r="M967" s="13">
        <v>3352</v>
      </c>
      <c r="N967" s="13">
        <v>50</v>
      </c>
      <c r="O967" s="15"/>
      <c r="P967" s="6">
        <v>42600.667349537034</v>
      </c>
      <c r="Q967" s="12"/>
      <c r="R967" s="17" t="s">
        <v>3411</v>
      </c>
      <c r="S967" s="11" t="s">
        <v>3412</v>
      </c>
      <c r="T967" s="12"/>
      <c r="U967" s="10" t="str">
        <f>HYPERLINK("https://pbs.twimg.com/profile_images/991752424602980352/Tbez7IZi.jpg","View")</f>
        <v>View</v>
      </c>
    </row>
    <row r="968" spans="1:21" ht="20.399999999999999">
      <c r="A968" s="6">
        <v>43439.045173611114</v>
      </c>
      <c r="B968" s="7" t="str">
        <f>HYPERLINK("https://twitter.com/EP_Mundo","@EP_Mundo")</f>
        <v>@EP_Mundo</v>
      </c>
      <c r="C968" s="8" t="s">
        <v>2762</v>
      </c>
      <c r="D968" s="9" t="s">
        <v>2718</v>
      </c>
      <c r="E968" s="10" t="str">
        <f>HYPERLINK("https://twitter.com/EP_Mundo/status/1070106740639842304","1070106740639842304")</f>
        <v>1070106740639842304</v>
      </c>
      <c r="F968" s="11" t="s">
        <v>2673</v>
      </c>
      <c r="G968" s="11" t="s">
        <v>3413</v>
      </c>
      <c r="H968" s="12"/>
      <c r="I968" s="13">
        <v>0</v>
      </c>
      <c r="J968" s="13">
        <v>0</v>
      </c>
      <c r="K968" s="14" t="str">
        <f>HYPERLINK("http://epmundo.com","Tuiteo TOP EP (2)")</f>
        <v>Tuiteo TOP EP (2)</v>
      </c>
      <c r="L968" s="13">
        <v>510219</v>
      </c>
      <c r="M968" s="13">
        <v>301867</v>
      </c>
      <c r="N968" s="13">
        <v>1363</v>
      </c>
      <c r="O968" s="15"/>
      <c r="P968" s="6">
        <v>40203.223078703704</v>
      </c>
      <c r="Q968" s="12"/>
      <c r="R968" s="17" t="s">
        <v>2764</v>
      </c>
      <c r="S968" s="11" t="s">
        <v>2765</v>
      </c>
      <c r="T968" s="12"/>
      <c r="U968" s="10" t="str">
        <f>HYPERLINK("https://pbs.twimg.com/profile_images/958329583778099200/87-xiuzB.jpg","View")</f>
        <v>View</v>
      </c>
    </row>
    <row r="969" spans="1:21" ht="13.2">
      <c r="A969" s="6">
        <v>43439.038726851853</v>
      </c>
      <c r="B969" s="7" t="str">
        <f>HYPERLINK("https://twitter.com/EULOGIO_CARMONA","@EULOGIO_CARMONA")</f>
        <v>@EULOGIO_CARMONA</v>
      </c>
      <c r="C969" s="8" t="s">
        <v>3414</v>
      </c>
      <c r="D969" s="9" t="s">
        <v>3415</v>
      </c>
      <c r="E969" s="10" t="str">
        <f>HYPERLINK("https://twitter.com/EULOGIO_CARMONA/status/1070104406371246080","1070104406371246080")</f>
        <v>1070104406371246080</v>
      </c>
      <c r="F969" s="12"/>
      <c r="G969" s="11" t="s">
        <v>3416</v>
      </c>
      <c r="H969" s="12"/>
      <c r="I969" s="13">
        <v>0</v>
      </c>
      <c r="J969" s="13">
        <v>0</v>
      </c>
      <c r="K969" s="14" t="str">
        <f>HYPERLINK("http://twitter.com/#!/download/ipad","Twitter for iPad")</f>
        <v>Twitter for iPad</v>
      </c>
      <c r="L969" s="13">
        <v>2278</v>
      </c>
      <c r="M969" s="13">
        <v>2314</v>
      </c>
      <c r="N969" s="13">
        <v>28</v>
      </c>
      <c r="O969" s="15"/>
      <c r="P969" s="6">
        <v>41063.665208333332</v>
      </c>
      <c r="Q969" s="16" t="s">
        <v>3417</v>
      </c>
      <c r="R969" s="17" t="s">
        <v>3418</v>
      </c>
      <c r="S969" s="12"/>
      <c r="T969" s="12"/>
      <c r="U969" s="10" t="str">
        <f>HYPERLINK("https://pbs.twimg.com/profile_images/1049403614836510720/rIqcBFkO.jpg","View")</f>
        <v>View</v>
      </c>
    </row>
    <row r="970" spans="1:21" ht="30.6">
      <c r="A970" s="6">
        <v>43439.038101851853</v>
      </c>
      <c r="B970" s="7" t="str">
        <f>HYPERLINK("https://twitter.com/La_Sopa_Digital","@La_Sopa_Digital")</f>
        <v>@La_Sopa_Digital</v>
      </c>
      <c r="C970" s="8" t="s">
        <v>3419</v>
      </c>
      <c r="D970" s="9" t="s">
        <v>2672</v>
      </c>
      <c r="E970" s="10" t="str">
        <f>HYPERLINK("https://twitter.com/La_Sopa_Digital/status/1070104179769782273","1070104179769782273")</f>
        <v>1070104179769782273</v>
      </c>
      <c r="F970" s="11" t="s">
        <v>2719</v>
      </c>
      <c r="G970" s="11" t="s">
        <v>3421</v>
      </c>
      <c r="H970" s="12"/>
      <c r="I970" s="13">
        <v>1</v>
      </c>
      <c r="J970" s="13">
        <v>0</v>
      </c>
      <c r="K970" s="14" t="str">
        <f>HYPERLINK("http://epmundo.com","Tuiteo TOP EP (3)")</f>
        <v>Tuiteo TOP EP (3)</v>
      </c>
      <c r="L970" s="13">
        <v>69486</v>
      </c>
      <c r="M970" s="13">
        <v>69754</v>
      </c>
      <c r="N970" s="13">
        <v>166</v>
      </c>
      <c r="O970" s="15"/>
      <c r="P970" s="6">
        <v>41499.193749999999</v>
      </c>
      <c r="Q970" s="12"/>
      <c r="R970" s="17" t="s">
        <v>3422</v>
      </c>
      <c r="S970" s="12"/>
      <c r="T970" s="12"/>
      <c r="U970" s="10" t="str">
        <f>HYPERLINK("https://pbs.twimg.com/profile_images/913059846420869120/amCh9oia.jpg","View")</f>
        <v>View</v>
      </c>
    </row>
    <row r="971" spans="1:21" ht="30.6">
      <c r="A971" s="6">
        <v>43439.03</v>
      </c>
      <c r="B971" s="7" t="str">
        <f>HYPERLINK("https://twitter.com/amadeuclave","@amadeuclave")</f>
        <v>@amadeuclave</v>
      </c>
      <c r="C971" s="8" t="s">
        <v>3423</v>
      </c>
      <c r="D971" s="9" t="s">
        <v>3424</v>
      </c>
      <c r="E971" s="10" t="str">
        <f>HYPERLINK("https://twitter.com/amadeuclave/status/1070101243249520647","1070101243249520647")</f>
        <v>1070101243249520647</v>
      </c>
      <c r="F971" s="12"/>
      <c r="G971" s="12"/>
      <c r="H971" s="12"/>
      <c r="I971" s="13">
        <v>0</v>
      </c>
      <c r="J971" s="13">
        <v>1</v>
      </c>
      <c r="K971" s="14" t="str">
        <f>HYPERLINK("https://mobile.twitter.com","Twitter Lite")</f>
        <v>Twitter Lite</v>
      </c>
      <c r="L971" s="13">
        <v>62</v>
      </c>
      <c r="M971" s="13">
        <v>273</v>
      </c>
      <c r="N971" s="13">
        <v>0</v>
      </c>
      <c r="O971" s="15"/>
      <c r="P971" s="6">
        <v>40411.969895833332</v>
      </c>
      <c r="Q971" s="16" t="s">
        <v>1455</v>
      </c>
      <c r="R971" s="17" t="s">
        <v>3425</v>
      </c>
      <c r="S971" s="12"/>
      <c r="T971" s="12"/>
      <c r="U971" s="10" t="str">
        <f>HYPERLINK("https://pbs.twimg.com/profile_images/1023657182007574529/fAuCuphz.jpg","View")</f>
        <v>View</v>
      </c>
    </row>
    <row r="972" spans="1:21" ht="20.399999999999999">
      <c r="A972" s="6">
        <v>43439.029837962968</v>
      </c>
      <c r="B972" s="7" t="str">
        <f>HYPERLINK("https://twitter.com/doriangrey63","@doriangrey63")</f>
        <v>@doriangrey63</v>
      </c>
      <c r="C972" s="8" t="s">
        <v>3426</v>
      </c>
      <c r="D972" s="9" t="s">
        <v>3427</v>
      </c>
      <c r="E972" s="10" t="str">
        <f>HYPERLINK("https://twitter.com/doriangrey63/status/1070101186320220160","1070101186320220160")</f>
        <v>1070101186320220160</v>
      </c>
      <c r="F972" s="11" t="s">
        <v>3428</v>
      </c>
      <c r="G972" s="12"/>
      <c r="H972" s="12"/>
      <c r="I972" s="13">
        <v>0</v>
      </c>
      <c r="J972" s="13">
        <v>0</v>
      </c>
      <c r="K972" s="14" t="str">
        <f>HYPERLINK("http://twitter.com/download/android","Twitter for Android")</f>
        <v>Twitter for Android</v>
      </c>
      <c r="L972" s="13">
        <v>1104</v>
      </c>
      <c r="M972" s="13">
        <v>1003</v>
      </c>
      <c r="N972" s="13">
        <v>40</v>
      </c>
      <c r="O972" s="15"/>
      <c r="P972" s="6">
        <v>41166.431875000002</v>
      </c>
      <c r="Q972" s="16" t="s">
        <v>48</v>
      </c>
      <c r="R972" s="20"/>
      <c r="S972" s="12"/>
      <c r="T972" s="12"/>
      <c r="U972" s="10" t="str">
        <f>HYPERLINK("https://pbs.twimg.com/profile_images/1057586706810056704/gwpzSr3B.jpg","View")</f>
        <v>View</v>
      </c>
    </row>
    <row r="973" spans="1:21" ht="40.799999999999997">
      <c r="A973" s="6">
        <v>43439.022511574076</v>
      </c>
      <c r="B973" s="7" t="str">
        <f>HYPERLINK("https://twitter.com/correopozuelo","@correopozuelo")</f>
        <v>@correopozuelo</v>
      </c>
      <c r="C973" s="8" t="s">
        <v>1366</v>
      </c>
      <c r="D973" s="9" t="s">
        <v>3429</v>
      </c>
      <c r="E973" s="10" t="str">
        <f>HYPERLINK("https://twitter.com/correopozuelo/status/1070098528586747906","1070098528586747906")</f>
        <v>1070098528586747906</v>
      </c>
      <c r="F973" s="11" t="s">
        <v>3430</v>
      </c>
      <c r="G973" s="11" t="s">
        <v>3431</v>
      </c>
      <c r="H973" s="12"/>
      <c r="I973" s="13">
        <v>0</v>
      </c>
      <c r="J973" s="13">
        <v>0</v>
      </c>
      <c r="K973" s="14" t="str">
        <f>HYPERLINK("http://publicize.wp.com/","WordPress.com")</f>
        <v>WordPress.com</v>
      </c>
      <c r="L973" s="13">
        <v>723</v>
      </c>
      <c r="M973" s="13">
        <v>90</v>
      </c>
      <c r="N973" s="13">
        <v>39</v>
      </c>
      <c r="O973" s="15"/>
      <c r="P973" s="6">
        <v>41542.496261574073</v>
      </c>
      <c r="Q973" s="16" t="s">
        <v>1370</v>
      </c>
      <c r="R973" s="17" t="s">
        <v>1371</v>
      </c>
      <c r="S973" s="11" t="s">
        <v>1372</v>
      </c>
      <c r="T973" s="12"/>
      <c r="U973" s="10" t="str">
        <f>HYPERLINK("https://pbs.twimg.com/profile_images/551026296965169153/wgbmZkBO.png","View")</f>
        <v>View</v>
      </c>
    </row>
    <row r="974" spans="1:21" ht="20.399999999999999">
      <c r="A974" s="6">
        <v>43439.014675925922</v>
      </c>
      <c r="B974" s="7" t="str">
        <f>HYPERLINK("https://twitter.com/AinaraDais","@AinaraDais")</f>
        <v>@AinaraDais</v>
      </c>
      <c r="C974" s="8" t="s">
        <v>3432</v>
      </c>
      <c r="D974" s="9" t="s">
        <v>3433</v>
      </c>
      <c r="E974" s="10" t="str">
        <f>HYPERLINK("https://twitter.com/AinaraDais/status/1070095688321720320","1070095688321720320")</f>
        <v>1070095688321720320</v>
      </c>
      <c r="F974" s="11" t="s">
        <v>3434</v>
      </c>
      <c r="G974" s="11" t="s">
        <v>3435</v>
      </c>
      <c r="H974" s="12"/>
      <c r="I974" s="13">
        <v>0</v>
      </c>
      <c r="J974" s="13">
        <v>0</v>
      </c>
      <c r="K974" s="14" t="str">
        <f>HYPERLINK("https://ifttt.com","IFTTT")</f>
        <v>IFTTT</v>
      </c>
      <c r="L974" s="13">
        <v>1743</v>
      </c>
      <c r="M974" s="13">
        <v>2410</v>
      </c>
      <c r="N974" s="13">
        <v>4</v>
      </c>
      <c r="O974" s="15"/>
      <c r="P974" s="6">
        <v>41810.924583333333</v>
      </c>
      <c r="Q974" s="16" t="s">
        <v>3436</v>
      </c>
      <c r="R974" s="17" t="s">
        <v>3437</v>
      </c>
      <c r="S974" s="12"/>
      <c r="T974" s="12"/>
      <c r="U974" s="10" t="str">
        <f>HYPERLINK("https://pbs.twimg.com/profile_images/927583367968763904/MBDkIfKv.jpg","View")</f>
        <v>View</v>
      </c>
    </row>
    <row r="975" spans="1:21" ht="40.799999999999997">
      <c r="A975" s="6">
        <v>43439.013958333337</v>
      </c>
      <c r="B975" s="7" t="str">
        <f>HYPERLINK("https://twitter.com/hola","@hola")</f>
        <v>@hola</v>
      </c>
      <c r="C975" s="8" t="s">
        <v>3438</v>
      </c>
      <c r="D975" s="9" t="s">
        <v>3433</v>
      </c>
      <c r="E975" s="10" t="str">
        <f>HYPERLINK("https://twitter.com/hola/status/1070095429881249793","1070095429881249793")</f>
        <v>1070095429881249793</v>
      </c>
      <c r="F975" s="11" t="s">
        <v>3434</v>
      </c>
      <c r="G975" s="11" t="s">
        <v>3435</v>
      </c>
      <c r="H975" s="12"/>
      <c r="I975" s="13">
        <v>1</v>
      </c>
      <c r="J975" s="13">
        <v>7</v>
      </c>
      <c r="K975" s="14" t="str">
        <f>HYPERLINK("https://www.hootsuite.com","Hootsuite Inc.")</f>
        <v>Hootsuite Inc.</v>
      </c>
      <c r="L975" s="13">
        <v>1688833</v>
      </c>
      <c r="M975" s="13">
        <v>2908</v>
      </c>
      <c r="N975" s="13">
        <v>4866</v>
      </c>
      <c r="O975" s="19" t="s">
        <v>44</v>
      </c>
      <c r="P975" s="6">
        <v>39923.210706018523</v>
      </c>
      <c r="Q975" s="16" t="s">
        <v>75</v>
      </c>
      <c r="R975" s="17" t="s">
        <v>3439</v>
      </c>
      <c r="S975" s="11" t="s">
        <v>3440</v>
      </c>
      <c r="T975" s="12"/>
      <c r="U975" s="10" t="str">
        <f>HYPERLINK("https://pbs.twimg.com/profile_images/1054336410201808896/NJCvwTju.jpg","View")</f>
        <v>View</v>
      </c>
    </row>
    <row r="976" spans="1:21" ht="30.6">
      <c r="A976" s="6">
        <v>43439.010127314818</v>
      </c>
      <c r="B976" s="7" t="str">
        <f>HYPERLINK("https://twitter.com/Humanimalista","@Humanimalista")</f>
        <v>@Humanimalista</v>
      </c>
      <c r="C976" s="8" t="s">
        <v>3420</v>
      </c>
      <c r="D976" s="9" t="s">
        <v>3441</v>
      </c>
      <c r="E976" s="10" t="str">
        <f>HYPERLINK("https://twitter.com/Humanimalista/status/1070094042921357312","1070094042921357312")</f>
        <v>1070094042921357312</v>
      </c>
      <c r="F976" s="11" t="s">
        <v>3442</v>
      </c>
      <c r="G976" s="12"/>
      <c r="H976" s="12"/>
      <c r="I976" s="13">
        <v>1</v>
      </c>
      <c r="J976" s="13">
        <v>0</v>
      </c>
      <c r="K976" s="14" t="str">
        <f>HYPERLINK("http://twitter.com","Twitter Web Client")</f>
        <v>Twitter Web Client</v>
      </c>
      <c r="L976" s="13">
        <v>238</v>
      </c>
      <c r="M976" s="13">
        <v>395</v>
      </c>
      <c r="N976" s="13">
        <v>8</v>
      </c>
      <c r="O976" s="15"/>
      <c r="P976" s="6">
        <v>40885.85837962963</v>
      </c>
      <c r="Q976" s="16" t="s">
        <v>48</v>
      </c>
      <c r="R976" s="17" t="s">
        <v>3443</v>
      </c>
      <c r="S976" s="11" t="s">
        <v>3444</v>
      </c>
      <c r="T976" s="12"/>
      <c r="U976" s="10" t="str">
        <f>HYPERLINK("https://pbs.twimg.com/profile_images/460441140689252352/l5X2pD3O.jpeg","View")</f>
        <v>View</v>
      </c>
    </row>
    <row r="977" spans="1:21" ht="51">
      <c r="A977" s="6">
        <v>43439.009421296301</v>
      </c>
      <c r="B977" s="7" t="str">
        <f>HYPERLINK("https://twitter.com/JavierArocaA","@JavierArocaA")</f>
        <v>@JavierArocaA</v>
      </c>
      <c r="C977" s="8" t="s">
        <v>3445</v>
      </c>
      <c r="D977" s="9" t="s">
        <v>3446</v>
      </c>
      <c r="E977" s="10" t="str">
        <f>HYPERLINK("https://twitter.com/JavierArocaA/status/1070093787328905216","1070093787328905216")</f>
        <v>1070093787328905216</v>
      </c>
      <c r="F977" s="16" t="s">
        <v>3447</v>
      </c>
      <c r="G977" s="12"/>
      <c r="H977" s="12"/>
      <c r="I977" s="13">
        <v>176</v>
      </c>
      <c r="J977" s="13">
        <v>350</v>
      </c>
      <c r="K977" s="14" t="str">
        <f t="shared" ref="K977:K978" si="167">HYPERLINK("http://twitter.com/download/android","Twitter for Android")</f>
        <v>Twitter for Android</v>
      </c>
      <c r="L977" s="13">
        <v>46102</v>
      </c>
      <c r="M977" s="13">
        <v>94</v>
      </c>
      <c r="N977" s="13">
        <v>534</v>
      </c>
      <c r="O977" s="15"/>
      <c r="P977" s="6">
        <v>40852.560254629629</v>
      </c>
      <c r="Q977" s="16" t="s">
        <v>3448</v>
      </c>
      <c r="R977" s="17" t="s">
        <v>3449</v>
      </c>
      <c r="S977" s="12"/>
      <c r="T977" s="12"/>
      <c r="U977" s="10" t="str">
        <f>HYPERLINK("https://pbs.twimg.com/profile_images/549347461496860674/06AzNeUv.jpeg","View")</f>
        <v>View</v>
      </c>
    </row>
    <row r="978" spans="1:21" ht="30.6">
      <c r="A978" s="6">
        <v>43439.00503472222</v>
      </c>
      <c r="B978" s="7" t="str">
        <f>HYPERLINK("https://twitter.com/aloap_onerom","@aloap_onerom")</f>
        <v>@aloap_onerom</v>
      </c>
      <c r="C978" s="8" t="s">
        <v>3450</v>
      </c>
      <c r="D978" s="9" t="s">
        <v>3451</v>
      </c>
      <c r="E978" s="10" t="str">
        <f>HYPERLINK("https://twitter.com/aloap_onerom/status/1070092194827116544","1070092194827116544")</f>
        <v>1070092194827116544</v>
      </c>
      <c r="F978" s="11" t="s">
        <v>3452</v>
      </c>
      <c r="G978" s="12"/>
      <c r="H978" s="12"/>
      <c r="I978" s="13">
        <v>0</v>
      </c>
      <c r="J978" s="13">
        <v>0</v>
      </c>
      <c r="K978" s="14" t="str">
        <f t="shared" si="167"/>
        <v>Twitter for Android</v>
      </c>
      <c r="L978" s="13">
        <v>367</v>
      </c>
      <c r="M978" s="13">
        <v>843</v>
      </c>
      <c r="N978" s="13">
        <v>17</v>
      </c>
      <c r="O978" s="15"/>
      <c r="P978" s="6">
        <v>41649.63821759259</v>
      </c>
      <c r="Q978" s="16" t="s">
        <v>3453</v>
      </c>
      <c r="R978" s="17" t="s">
        <v>3454</v>
      </c>
      <c r="S978" s="12"/>
      <c r="T978" s="12"/>
      <c r="U978" s="10" t="str">
        <f>HYPERLINK("https://pbs.twimg.com/profile_images/927188696721494016/-N0zMPRf.jpg","View")</f>
        <v>View</v>
      </c>
    </row>
    <row r="979" spans="1:21" ht="30.6">
      <c r="A979" s="6">
        <v>43439.003807870366</v>
      </c>
      <c r="B979" s="7" t="str">
        <f>HYPERLINK("https://twitter.com/pablo_casado","@pablo_casado")</f>
        <v>@pablo_casado</v>
      </c>
      <c r="C979" s="8" t="s">
        <v>2892</v>
      </c>
      <c r="D979" s="9" t="s">
        <v>3455</v>
      </c>
      <c r="E979" s="10" t="str">
        <f>HYPERLINK("https://twitter.com/pablo_casado/status/1070091750528729088","1070091750528729088")</f>
        <v>1070091750528729088</v>
      </c>
      <c r="F979" s="11" t="s">
        <v>3456</v>
      </c>
      <c r="G979" s="11" t="s">
        <v>3457</v>
      </c>
      <c r="H979" s="12"/>
      <c r="I979" s="13">
        <v>0</v>
      </c>
      <c r="J979" s="13">
        <v>1</v>
      </c>
      <c r="K979" s="14" t="str">
        <f>HYPERLINK("http://twitter.com","Twitter Web Client")</f>
        <v>Twitter Web Client</v>
      </c>
      <c r="L979" s="13">
        <v>803</v>
      </c>
      <c r="M979" s="13">
        <v>1180</v>
      </c>
      <c r="N979" s="13">
        <v>16</v>
      </c>
      <c r="O979" s="15"/>
      <c r="P979" s="6">
        <v>40631.644189814819</v>
      </c>
      <c r="Q979" s="16" t="s">
        <v>2895</v>
      </c>
      <c r="R979" s="17" t="s">
        <v>2896</v>
      </c>
      <c r="S979" s="11" t="s">
        <v>2897</v>
      </c>
      <c r="T979" s="12"/>
      <c r="U979" s="10" t="str">
        <f>HYPERLINK("https://pbs.twimg.com/profile_images/960372546393837569/o7y23nco.jpg","View")</f>
        <v>View</v>
      </c>
    </row>
    <row r="980" spans="1:21" ht="30.6">
      <c r="A980" s="6">
        <v>43439.003194444449</v>
      </c>
      <c r="B980" s="7" t="str">
        <f>HYPERLINK("https://twitter.com/cuin1425","@cuin1425")</f>
        <v>@cuin1425</v>
      </c>
      <c r="C980" s="8" t="s">
        <v>2618</v>
      </c>
      <c r="D980" s="9" t="s">
        <v>3458</v>
      </c>
      <c r="E980" s="10" t="str">
        <f>HYPERLINK("https://twitter.com/cuin1425/status/1070091527332990976","1070091527332990976")</f>
        <v>1070091527332990976</v>
      </c>
      <c r="F980" s="11" t="s">
        <v>3459</v>
      </c>
      <c r="G980" s="12"/>
      <c r="H980" s="12"/>
      <c r="I980" s="13">
        <v>0</v>
      </c>
      <c r="J980" s="13">
        <v>0</v>
      </c>
      <c r="K980" s="14" t="str">
        <f>HYPERLINK("http://www.facebook.com/twitter","Facebook")</f>
        <v>Facebook</v>
      </c>
      <c r="L980" s="13">
        <v>580</v>
      </c>
      <c r="M980" s="13">
        <v>977</v>
      </c>
      <c r="N980" s="13">
        <v>13</v>
      </c>
      <c r="O980" s="15"/>
      <c r="P980" s="6">
        <v>40274.437928240739</v>
      </c>
      <c r="Q980" s="16" t="s">
        <v>2620</v>
      </c>
      <c r="R980" s="17" t="s">
        <v>2621</v>
      </c>
      <c r="S980" s="12"/>
      <c r="T980" s="12"/>
      <c r="U980" s="10" t="str">
        <f>HYPERLINK("https://pbs.twimg.com/profile_images/820055555305832448/qbgSwEuX.jpg","View")</f>
        <v>View</v>
      </c>
    </row>
    <row r="981" spans="1:21" ht="20.399999999999999">
      <c r="A981" s="6">
        <v>43439.00001157407</v>
      </c>
      <c r="B981" s="7" t="str">
        <f>HYPERLINK("https://twitter.com/EP_Mundo","@EP_Mundo")</f>
        <v>@EP_Mundo</v>
      </c>
      <c r="C981" s="8" t="s">
        <v>2762</v>
      </c>
      <c r="D981" s="9" t="s">
        <v>2718</v>
      </c>
      <c r="E981" s="10" t="str">
        <f>HYPERLINK("https://twitter.com/EP_Mundo/status/1070090374423683072","1070090374423683072")</f>
        <v>1070090374423683072</v>
      </c>
      <c r="F981" s="11" t="s">
        <v>2673</v>
      </c>
      <c r="G981" s="11" t="s">
        <v>3460</v>
      </c>
      <c r="H981" s="12"/>
      <c r="I981" s="13">
        <v>0</v>
      </c>
      <c r="J981" s="13">
        <v>0</v>
      </c>
      <c r="K981" s="14" t="str">
        <f>HYPERLINK("http://epmundo.com","Tuiteo TOP EP (2)")</f>
        <v>Tuiteo TOP EP (2)</v>
      </c>
      <c r="L981" s="13">
        <v>510219</v>
      </c>
      <c r="M981" s="13">
        <v>301867</v>
      </c>
      <c r="N981" s="13">
        <v>1363</v>
      </c>
      <c r="O981" s="15"/>
      <c r="P981" s="6">
        <v>40203.223078703704</v>
      </c>
      <c r="Q981" s="12"/>
      <c r="R981" s="17" t="s">
        <v>2764</v>
      </c>
      <c r="S981" s="11" t="s">
        <v>2765</v>
      </c>
      <c r="T981" s="12"/>
      <c r="U981" s="10" t="str">
        <f>HYPERLINK("https://pbs.twimg.com/profile_images/958329583778099200/87-xiuzB.jpg","View")</f>
        <v>View</v>
      </c>
    </row>
    <row r="982" spans="1:21" ht="61.2">
      <c r="A982" s="6">
        <v>43438.998784722222</v>
      </c>
      <c r="B982" s="7" t="str">
        <f>HYPERLINK("https://twitter.com/Ganemos_Cordoba","@Ganemos_Cordoba")</f>
        <v>@Ganemos_Cordoba</v>
      </c>
      <c r="C982" s="8" t="s">
        <v>3461</v>
      </c>
      <c r="D982" s="9" t="s">
        <v>3462</v>
      </c>
      <c r="E982" s="10" t="str">
        <f>HYPERLINK("https://twitter.com/Ganemos_Cordoba/status/1070089931073163265","1070089931073163265")</f>
        <v>1070089931073163265</v>
      </c>
      <c r="F982" s="16" t="s">
        <v>3463</v>
      </c>
      <c r="G982" s="12"/>
      <c r="H982" s="12"/>
      <c r="I982" s="13">
        <v>1</v>
      </c>
      <c r="J982" s="13">
        <v>1</v>
      </c>
      <c r="K982" s="14" t="str">
        <f t="shared" ref="K982:K984" si="168">HYPERLINK("http://twitter.com/download/android","Twitter for Android")</f>
        <v>Twitter for Android</v>
      </c>
      <c r="L982" s="13">
        <v>2502</v>
      </c>
      <c r="M982" s="13">
        <v>2018</v>
      </c>
      <c r="N982" s="13">
        <v>53</v>
      </c>
      <c r="O982" s="15"/>
      <c r="P982" s="6">
        <v>41844.58048611111</v>
      </c>
      <c r="Q982" s="16" t="s">
        <v>1754</v>
      </c>
      <c r="R982" s="17" t="s">
        <v>3464</v>
      </c>
      <c r="S982" s="11" t="s">
        <v>3465</v>
      </c>
      <c r="T982" s="12"/>
      <c r="U982" s="10" t="str">
        <f>HYPERLINK("https://pbs.twimg.com/profile_images/1045585008155652096/m1yw1onu.jpg","View")</f>
        <v>View</v>
      </c>
    </row>
    <row r="983" spans="1:21" ht="40.799999999999997">
      <c r="A983" s="6">
        <v>43438.985555555555</v>
      </c>
      <c r="B983" s="7" t="str">
        <f>HYPERLINK("https://twitter.com/xaviolivella","@xaviolivella")</f>
        <v>@xaviolivella</v>
      </c>
      <c r="C983" s="8" t="s">
        <v>404</v>
      </c>
      <c r="D983" s="9" t="s">
        <v>3466</v>
      </c>
      <c r="E983" s="10" t="str">
        <f>HYPERLINK("https://twitter.com/xaviolivella/status/1070085138359468032","1070085138359468032")</f>
        <v>1070085138359468032</v>
      </c>
      <c r="F983" s="11" t="s">
        <v>3467</v>
      </c>
      <c r="G983" s="12"/>
      <c r="H983" s="12"/>
      <c r="I983" s="13">
        <v>0</v>
      </c>
      <c r="J983" s="13">
        <v>1</v>
      </c>
      <c r="K983" s="14" t="str">
        <f t="shared" si="168"/>
        <v>Twitter for Android</v>
      </c>
      <c r="L983" s="13">
        <v>1637</v>
      </c>
      <c r="M983" s="13">
        <v>1961</v>
      </c>
      <c r="N983" s="13">
        <v>35</v>
      </c>
      <c r="O983" s="15"/>
      <c r="P983" s="6">
        <v>40085.455509259264</v>
      </c>
      <c r="Q983" s="16" t="s">
        <v>407</v>
      </c>
      <c r="R983" s="17" t="s">
        <v>408</v>
      </c>
      <c r="S983" s="12"/>
      <c r="T983" s="12"/>
      <c r="U983" s="10" t="str">
        <f>HYPERLINK("https://pbs.twimg.com/profile_images/988151225202954241/qKg13FEP.jpg","View")</f>
        <v>View</v>
      </c>
    </row>
    <row r="984" spans="1:21" ht="40.799999999999997">
      <c r="A984" s="6">
        <v>43438.97347222222</v>
      </c>
      <c r="B984" s="7" t="str">
        <f>HYPERLINK("https://twitter.com/socalvaro","@socalvaro")</f>
        <v>@socalvaro</v>
      </c>
      <c r="C984" s="8" t="s">
        <v>827</v>
      </c>
      <c r="D984" s="9" t="s">
        <v>3468</v>
      </c>
      <c r="E984" s="10" t="str">
        <f>HYPERLINK("https://twitter.com/socalvaro/status/1070080759329931264","1070080759329931264")</f>
        <v>1070080759329931264</v>
      </c>
      <c r="F984" s="12"/>
      <c r="G984" s="12"/>
      <c r="H984" s="12"/>
      <c r="I984" s="13">
        <v>0</v>
      </c>
      <c r="J984" s="13">
        <v>3</v>
      </c>
      <c r="K984" s="14" t="str">
        <f t="shared" si="168"/>
        <v>Twitter for Android</v>
      </c>
      <c r="L984" s="13">
        <v>1844</v>
      </c>
      <c r="M984" s="13">
        <v>1585</v>
      </c>
      <c r="N984" s="13">
        <v>21</v>
      </c>
      <c r="O984" s="15"/>
      <c r="P984" s="6">
        <v>41384.953206018516</v>
      </c>
      <c r="Q984" s="16" t="s">
        <v>829</v>
      </c>
      <c r="R984" s="17" t="s">
        <v>830</v>
      </c>
      <c r="S984" s="11" t="s">
        <v>831</v>
      </c>
      <c r="T984" s="12"/>
      <c r="U984" s="10" t="str">
        <f>HYPERLINK("https://pbs.twimg.com/profile_images/933221816071417856/bGs0NlmF.jpg","View")</f>
        <v>View</v>
      </c>
    </row>
    <row r="985" spans="1:21" ht="40.799999999999997">
      <c r="A985" s="6">
        <v>43438.96875</v>
      </c>
      <c r="B985" s="7" t="str">
        <f>HYPERLINK("https://twitter.com/caval100","@caval100")</f>
        <v>@caval100</v>
      </c>
      <c r="C985" s="8" t="s">
        <v>72</v>
      </c>
      <c r="D985" s="9" t="s">
        <v>73</v>
      </c>
      <c r="E985" s="10" t="str">
        <f>HYPERLINK("https://twitter.com/caval100/status/1070079045910446081","1070079045910446081")</f>
        <v>1070079045910446081</v>
      </c>
      <c r="F985" s="11" t="s">
        <v>74</v>
      </c>
      <c r="G985" s="12"/>
      <c r="H985" s="12"/>
      <c r="I985" s="13">
        <v>1</v>
      </c>
      <c r="J985" s="13">
        <v>1</v>
      </c>
      <c r="K985" s="14" t="str">
        <f>HYPERLINK("https://about.twitter.com/products/tweetdeck","TweetDeck")</f>
        <v>TweetDeck</v>
      </c>
      <c r="L985" s="13">
        <v>119343</v>
      </c>
      <c r="M985" s="13">
        <v>94000</v>
      </c>
      <c r="N985" s="13">
        <v>982</v>
      </c>
      <c r="O985" s="15"/>
      <c r="P985" s="6">
        <v>40079.437094907407</v>
      </c>
      <c r="Q985" s="16" t="s">
        <v>75</v>
      </c>
      <c r="R985" s="17" t="s">
        <v>76</v>
      </c>
      <c r="S985" s="11" t="s">
        <v>77</v>
      </c>
      <c r="T985" s="12"/>
      <c r="U985" s="10" t="str">
        <f>HYPERLINK("https://pbs.twimg.com/profile_images/965350678301429760/uvGI7g8U.jpg","View")</f>
        <v>View</v>
      </c>
    </row>
    <row r="986" spans="1:21" ht="30.6">
      <c r="A986" s="6">
        <v>43438.965057870373</v>
      </c>
      <c r="B986" s="7" t="str">
        <f>HYPERLINK("https://twitter.com/periodicovzlano","@periodicovzlano")</f>
        <v>@periodicovzlano</v>
      </c>
      <c r="C986" s="8" t="s">
        <v>2671</v>
      </c>
      <c r="D986" s="9" t="s">
        <v>2672</v>
      </c>
      <c r="E986" s="10" t="str">
        <f>HYPERLINK("https://twitter.com/periodicovzlano/status/1070077710356107266","1070077710356107266")</f>
        <v>1070077710356107266</v>
      </c>
      <c r="F986" s="11" t="s">
        <v>2673</v>
      </c>
      <c r="G986" s="11" t="s">
        <v>3469</v>
      </c>
      <c r="H986" s="12"/>
      <c r="I986" s="13">
        <v>0</v>
      </c>
      <c r="J986" s="13">
        <v>1</v>
      </c>
      <c r="K986" s="14" t="str">
        <f>HYPERLINK("http://epmundo.com","Tuiteo TOP EP (1)")</f>
        <v>Tuiteo TOP EP (1)</v>
      </c>
      <c r="L986" s="13">
        <v>479694</v>
      </c>
      <c r="M986" s="13">
        <v>358804</v>
      </c>
      <c r="N986" s="13">
        <v>1295</v>
      </c>
      <c r="O986" s="15"/>
      <c r="P986" s="6">
        <v>40663.3512962963</v>
      </c>
      <c r="Q986" s="16" t="s">
        <v>861</v>
      </c>
      <c r="R986" s="17" t="s">
        <v>2675</v>
      </c>
      <c r="S986" s="11" t="s">
        <v>2676</v>
      </c>
      <c r="T986" s="12"/>
      <c r="U986" s="10" t="str">
        <f>HYPERLINK("https://pbs.twimg.com/profile_images/958328579250638849/MCz7Q8U6.jpg","View")</f>
        <v>View</v>
      </c>
    </row>
    <row r="987" spans="1:21" ht="51">
      <c r="A987" s="6">
        <v>43438.962418981479</v>
      </c>
      <c r="B987" s="7" t="str">
        <f>HYPERLINK("https://twitter.com/JC_C_A","@JC_C_A")</f>
        <v>@JC_C_A</v>
      </c>
      <c r="C987" s="8" t="s">
        <v>630</v>
      </c>
      <c r="D987" s="9" t="s">
        <v>3470</v>
      </c>
      <c r="E987" s="10" t="str">
        <f>HYPERLINK("https://twitter.com/JC_C_A/status/1070076752754561024","1070076752754561024")</f>
        <v>1070076752754561024</v>
      </c>
      <c r="F987" s="12"/>
      <c r="G987" s="12"/>
      <c r="H987" s="12"/>
      <c r="I987" s="13">
        <v>4</v>
      </c>
      <c r="J987" s="13">
        <v>5</v>
      </c>
      <c r="K987" s="14" t="str">
        <f>HYPERLINK("http://twitter.com/download/android","Twitter for Android")</f>
        <v>Twitter for Android</v>
      </c>
      <c r="L987" s="13">
        <v>1535</v>
      </c>
      <c r="M987" s="13">
        <v>1285</v>
      </c>
      <c r="N987" s="13">
        <v>4</v>
      </c>
      <c r="O987" s="15"/>
      <c r="P987" s="6">
        <v>43055.93885416667</v>
      </c>
      <c r="Q987" s="16" t="s">
        <v>632</v>
      </c>
      <c r="R987" s="17" t="s">
        <v>633</v>
      </c>
      <c r="S987" s="12"/>
      <c r="T987" s="12"/>
      <c r="U987" s="10" t="str">
        <f>HYPERLINK("https://pbs.twimg.com/profile_images/1029775179520647169/gj_YgLkP.jpg","View")</f>
        <v>View</v>
      </c>
    </row>
    <row r="988" spans="1:21" ht="30.6">
      <c r="A988" s="6">
        <v>43438.952916666662</v>
      </c>
      <c r="B988" s="7" t="str">
        <f>HYPERLINK("https://twitter.com/Pedro_Castro","@Pedro_Castro")</f>
        <v>@Pedro_Castro</v>
      </c>
      <c r="C988" s="8" t="s">
        <v>1828</v>
      </c>
      <c r="D988" s="9" t="s">
        <v>3210</v>
      </c>
      <c r="E988" s="10" t="str">
        <f>HYPERLINK("https://twitter.com/Pedro_Castro/status/1070073310602498051","1070073310602498051")</f>
        <v>1070073310602498051</v>
      </c>
      <c r="F988" s="11" t="s">
        <v>2831</v>
      </c>
      <c r="G988" s="12"/>
      <c r="H988" s="12"/>
      <c r="I988" s="13">
        <v>1</v>
      </c>
      <c r="J988" s="13">
        <v>0</v>
      </c>
      <c r="K988" s="14" t="str">
        <f>HYPERLINK("http://twitter.com","Twitter Web Client")</f>
        <v>Twitter Web Client</v>
      </c>
      <c r="L988" s="13">
        <v>12369</v>
      </c>
      <c r="M988" s="13">
        <v>5931</v>
      </c>
      <c r="N988" s="13">
        <v>412</v>
      </c>
      <c r="O988" s="15"/>
      <c r="P988" s="6">
        <v>39811.502395833333</v>
      </c>
      <c r="Q988" s="16" t="s">
        <v>1829</v>
      </c>
      <c r="R988" s="17" t="s">
        <v>1830</v>
      </c>
      <c r="S988" s="11" t="s">
        <v>1831</v>
      </c>
      <c r="T988" s="12"/>
      <c r="U988" s="10" t="str">
        <f>HYPERLINK("https://pbs.twimg.com/profile_images/1423190616/203177_1104736911_528524_n2.jpg","View")</f>
        <v>View</v>
      </c>
    </row>
    <row r="989" spans="1:21" ht="20.399999999999999">
      <c r="A989" s="6">
        <v>43438.946238425924</v>
      </c>
      <c r="B989" s="7" t="str">
        <f>HYPERLINK("https://twitter.com/JorgeHerreroxtv","@JorgeHerreroxtv")</f>
        <v>@JorgeHerreroxtv</v>
      </c>
      <c r="C989" s="8" t="s">
        <v>2548</v>
      </c>
      <c r="D989" s="9" t="s">
        <v>3427</v>
      </c>
      <c r="E989" s="10" t="str">
        <f>HYPERLINK("https://twitter.com/JorgeHerreroxtv/status/1070070889507627015","1070070889507627015")</f>
        <v>1070070889507627015</v>
      </c>
      <c r="F989" s="11" t="s">
        <v>3428</v>
      </c>
      <c r="G989" s="12"/>
      <c r="H989" s="12"/>
      <c r="I989" s="13">
        <v>0</v>
      </c>
      <c r="J989" s="13">
        <v>1</v>
      </c>
      <c r="K989" s="14" t="str">
        <f t="shared" ref="K989:K990" si="169">HYPERLINK("http://twitter.com/download/android","Twitter for Android")</f>
        <v>Twitter for Android</v>
      </c>
      <c r="L989" s="13">
        <v>3560</v>
      </c>
      <c r="M989" s="13">
        <v>2122</v>
      </c>
      <c r="N989" s="13">
        <v>38</v>
      </c>
      <c r="O989" s="15"/>
      <c r="P989" s="6">
        <v>41196.781770833331</v>
      </c>
      <c r="Q989" s="16" t="s">
        <v>2549</v>
      </c>
      <c r="R989" s="17" t="s">
        <v>2550</v>
      </c>
      <c r="S989" s="12"/>
      <c r="T989" s="12"/>
      <c r="U989" s="10" t="str">
        <f>HYPERLINK("https://pbs.twimg.com/profile_images/1060850495340900353/KCOJWPxs.jpg","View")</f>
        <v>View</v>
      </c>
    </row>
    <row r="990" spans="1:21" ht="51">
      <c r="A990" s="6">
        <v>43438.944282407407</v>
      </c>
      <c r="B990" s="7" t="str">
        <f>HYPERLINK("https://twitter.com/mecagoenfrodo","@mecagoenfrodo")</f>
        <v>@mecagoenfrodo</v>
      </c>
      <c r="C990" s="8" t="s">
        <v>3471</v>
      </c>
      <c r="D990" s="9" t="s">
        <v>3472</v>
      </c>
      <c r="E990" s="10" t="str">
        <f>HYPERLINK("https://twitter.com/mecagoenfrodo/status/1070070181739880449","1070070181739880449")</f>
        <v>1070070181739880449</v>
      </c>
      <c r="F990" s="12"/>
      <c r="G990" s="12"/>
      <c r="H990" s="12"/>
      <c r="I990" s="13">
        <v>4</v>
      </c>
      <c r="J990" s="13">
        <v>7</v>
      </c>
      <c r="K990" s="14" t="str">
        <f t="shared" si="169"/>
        <v>Twitter for Android</v>
      </c>
      <c r="L990" s="13">
        <v>120</v>
      </c>
      <c r="M990" s="13">
        <v>538</v>
      </c>
      <c r="N990" s="13">
        <v>4</v>
      </c>
      <c r="O990" s="15"/>
      <c r="P990" s="6">
        <v>40930.642835648148</v>
      </c>
      <c r="Q990" s="16" t="s">
        <v>3473</v>
      </c>
      <c r="R990" s="17" t="s">
        <v>3474</v>
      </c>
      <c r="S990" s="11" t="s">
        <v>3475</v>
      </c>
      <c r="T990" s="12"/>
      <c r="U990" s="10" t="str">
        <f>HYPERLINK("https://pbs.twimg.com/profile_images/1048053219023360000/QJWKQ7T8.jpg","View")</f>
        <v>View</v>
      </c>
    </row>
    <row r="991" spans="1:21" ht="40.799999999999997">
      <c r="A991" s="6">
        <v>43438.942662037036</v>
      </c>
      <c r="B991" s="7" t="str">
        <f>HYPERLINK("https://twitter.com/malagaes","@malagaes")</f>
        <v>@malagaes</v>
      </c>
      <c r="C991" s="8" t="s">
        <v>3476</v>
      </c>
      <c r="D991" s="9" t="s">
        <v>3477</v>
      </c>
      <c r="E991" s="10" t="str">
        <f>HYPERLINK("https://twitter.com/malagaes/status/1070069594411466753","1070069594411466753")</f>
        <v>1070069594411466753</v>
      </c>
      <c r="F991" s="11" t="s">
        <v>3478</v>
      </c>
      <c r="G991" s="12"/>
      <c r="H991" s="12"/>
      <c r="I991" s="13">
        <v>0</v>
      </c>
      <c r="J991" s="13">
        <v>0</v>
      </c>
      <c r="K991" s="14" t="str">
        <f>HYPERLINK("http://www.facebook.com/twitter","Facebook")</f>
        <v>Facebook</v>
      </c>
      <c r="L991" s="13">
        <v>944</v>
      </c>
      <c r="M991" s="13">
        <v>2120</v>
      </c>
      <c r="N991" s="13">
        <v>35</v>
      </c>
      <c r="O991" s="15"/>
      <c r="P991" s="6">
        <v>39576.678645833337</v>
      </c>
      <c r="Q991" s="16" t="s">
        <v>3479</v>
      </c>
      <c r="R991" s="17" t="s">
        <v>3480</v>
      </c>
      <c r="S991" s="11" t="s">
        <v>3481</v>
      </c>
      <c r="T991" s="12"/>
      <c r="U991" s="10" t="str">
        <f>HYPERLINK("https://pbs.twimg.com/profile_images/1121227300/Rss.jpg","View")</f>
        <v>View</v>
      </c>
    </row>
    <row r="992" spans="1:21" ht="40.799999999999997">
      <c r="A992" s="6">
        <v>43438.940115740741</v>
      </c>
      <c r="B992" s="7" t="str">
        <f>HYPERLINK("https://twitter.com/cayeruby","@cayeruby")</f>
        <v>@cayeruby</v>
      </c>
      <c r="C992" s="8" t="s">
        <v>218</v>
      </c>
      <c r="D992" s="9" t="s">
        <v>3482</v>
      </c>
      <c r="E992" s="10" t="str">
        <f>HYPERLINK("https://twitter.com/cayeruby/status/1070068671706480641","1070068671706480641")</f>
        <v>1070068671706480641</v>
      </c>
      <c r="F992" s="12"/>
      <c r="G992" s="12"/>
      <c r="H992" s="12"/>
      <c r="I992" s="13">
        <v>7</v>
      </c>
      <c r="J992" s="13">
        <v>18</v>
      </c>
      <c r="K992" s="14" t="str">
        <f t="shared" ref="K992:K993" si="170">HYPERLINK("http://twitter.com","Twitter Web Client")</f>
        <v>Twitter Web Client</v>
      </c>
      <c r="L992" s="13">
        <v>29765</v>
      </c>
      <c r="M992" s="13">
        <v>19555</v>
      </c>
      <c r="N992" s="13">
        <v>191</v>
      </c>
      <c r="O992" s="15"/>
      <c r="P992" s="6">
        <v>41316.125416666662</v>
      </c>
      <c r="Q992" s="16" t="s">
        <v>221</v>
      </c>
      <c r="R992" s="17" t="s">
        <v>222</v>
      </c>
      <c r="S992" s="12"/>
      <c r="T992" s="12"/>
      <c r="U992" s="10" t="str">
        <f>HYPERLINK("https://pbs.twimg.com/profile_images/1017740980752146432/Jrrw8PP1.jpg","View")</f>
        <v>View</v>
      </c>
    </row>
    <row r="993" spans="1:21" ht="61.2">
      <c r="A993" s="6">
        <v>43438.939027777778</v>
      </c>
      <c r="B993" s="7" t="str">
        <f>HYPERLINK("https://twitter.com/falcarazfer","@falcarazfer")</f>
        <v>@falcarazfer</v>
      </c>
      <c r="C993" s="8" t="s">
        <v>3483</v>
      </c>
      <c r="D993" s="9" t="s">
        <v>3484</v>
      </c>
      <c r="E993" s="10" t="str">
        <f>HYPERLINK("https://twitter.com/falcarazfer/status/1070068276636590080","1070068276636590080")</f>
        <v>1070068276636590080</v>
      </c>
      <c r="F993" s="11" t="s">
        <v>3485</v>
      </c>
      <c r="G993" s="12"/>
      <c r="H993" s="12"/>
      <c r="I993" s="13">
        <v>0</v>
      </c>
      <c r="J993" s="13">
        <v>1</v>
      </c>
      <c r="K993" s="14" t="str">
        <f t="shared" si="170"/>
        <v>Twitter Web Client</v>
      </c>
      <c r="L993" s="13">
        <v>3538</v>
      </c>
      <c r="M993" s="13">
        <v>3498</v>
      </c>
      <c r="N993" s="13">
        <v>52</v>
      </c>
      <c r="O993" s="15"/>
      <c r="P993" s="6">
        <v>41687.861030092594</v>
      </c>
      <c r="Q993" s="12"/>
      <c r="R993" s="17" t="s">
        <v>3486</v>
      </c>
      <c r="S993" s="12"/>
      <c r="T993" s="12"/>
      <c r="U993" s="10" t="str">
        <f>HYPERLINK("https://pbs.twimg.com/profile_images/459014754648879105/Dt4Ki-pT.png","View")</f>
        <v>View</v>
      </c>
    </row>
    <row r="994" spans="1:21" ht="30.6">
      <c r="A994" s="6">
        <v>43438.9375</v>
      </c>
      <c r="B994" s="7" t="str">
        <f>HYPERLINK("https://twitter.com/GaliciaMundiari","@GaliciaMundiari")</f>
        <v>@GaliciaMundiari</v>
      </c>
      <c r="C994" s="8" t="s">
        <v>565</v>
      </c>
      <c r="D994" s="9" t="s">
        <v>3487</v>
      </c>
      <c r="E994" s="10" t="str">
        <f>HYPERLINK("https://twitter.com/GaliciaMundiari/status/1070067721646178304","1070067721646178304")</f>
        <v>1070067721646178304</v>
      </c>
      <c r="F994" s="11" t="s">
        <v>3488</v>
      </c>
      <c r="G994" s="12"/>
      <c r="H994" s="12"/>
      <c r="I994" s="13">
        <v>1</v>
      </c>
      <c r="J994" s="13">
        <v>0</v>
      </c>
      <c r="K994" s="14" t="str">
        <f>HYPERLINK("https://about.twitter.com/products/tweetdeck","TweetDeck")</f>
        <v>TweetDeck</v>
      </c>
      <c r="L994" s="13">
        <v>731</v>
      </c>
      <c r="M994" s="13">
        <v>1487</v>
      </c>
      <c r="N994" s="13">
        <v>31</v>
      </c>
      <c r="O994" s="15"/>
      <c r="P994" s="6">
        <v>41311.572812500002</v>
      </c>
      <c r="Q994" s="16" t="s">
        <v>568</v>
      </c>
      <c r="R994" s="17" t="s">
        <v>569</v>
      </c>
      <c r="S994" s="11" t="s">
        <v>570</v>
      </c>
      <c r="T994" s="12"/>
      <c r="U994" s="10" t="str">
        <f>HYPERLINK("https://pbs.twimg.com/profile_images/983440522390929408/Q4V9I05R.jpg","View")</f>
        <v>View</v>
      </c>
    </row>
    <row r="995" spans="1:21" ht="40.799999999999997">
      <c r="A995" s="6">
        <v>43438.935601851852</v>
      </c>
      <c r="B995" s="7" t="str">
        <f>HYPERLINK("https://twitter.com/fermont1965","@fermont1965")</f>
        <v>@fermont1965</v>
      </c>
      <c r="C995" s="8" t="s">
        <v>1099</v>
      </c>
      <c r="D995" s="9" t="s">
        <v>3489</v>
      </c>
      <c r="E995" s="10" t="str">
        <f>HYPERLINK("https://twitter.com/fermont1965/status/1070067035600797699","1070067035600797699")</f>
        <v>1070067035600797699</v>
      </c>
      <c r="F995" s="12"/>
      <c r="G995" s="12"/>
      <c r="H995" s="12"/>
      <c r="I995" s="13">
        <v>24</v>
      </c>
      <c r="J995" s="13">
        <v>35</v>
      </c>
      <c r="K995" s="14" t="str">
        <f>HYPERLINK("http://twitter.com","Twitter Web Client")</f>
        <v>Twitter Web Client</v>
      </c>
      <c r="L995" s="13">
        <v>35257</v>
      </c>
      <c r="M995" s="13">
        <v>9078</v>
      </c>
      <c r="N995" s="13">
        <v>306</v>
      </c>
      <c r="O995" s="15"/>
      <c r="P995" s="6">
        <v>40608.760115740741</v>
      </c>
      <c r="Q995" s="16" t="s">
        <v>1101</v>
      </c>
      <c r="R995" s="17" t="s">
        <v>1102</v>
      </c>
      <c r="S995" s="12"/>
      <c r="T995" s="12"/>
      <c r="U995" s="10" t="str">
        <f>HYPERLINK("https://pbs.twimg.com/profile_images/617818600326438912/_o-dirdy.jpg","View")</f>
        <v>View</v>
      </c>
    </row>
    <row r="996" spans="1:21" ht="40.799999999999997">
      <c r="A996" s="6">
        <v>43438.932928240742</v>
      </c>
      <c r="B996" s="7" t="str">
        <f>HYPERLINK("https://twitter.com/marianofake","@marianofake")</f>
        <v>@marianofake</v>
      </c>
      <c r="C996" s="8" t="s">
        <v>1715</v>
      </c>
      <c r="D996" s="9" t="s">
        <v>3490</v>
      </c>
      <c r="E996" s="10" t="str">
        <f>HYPERLINK("https://twitter.com/marianofake/status/1070066066662010881","1070066066662010881")</f>
        <v>1070066066662010881</v>
      </c>
      <c r="F996" s="12"/>
      <c r="G996" s="12"/>
      <c r="H996" s="12"/>
      <c r="I996" s="13">
        <v>1</v>
      </c>
      <c r="J996" s="13">
        <v>5</v>
      </c>
      <c r="K996" s="14" t="str">
        <f>HYPERLINK("https://mobile.twitter.com","Twitter Lite")</f>
        <v>Twitter Lite</v>
      </c>
      <c r="L996" s="13">
        <v>6144</v>
      </c>
      <c r="M996" s="13">
        <v>3153</v>
      </c>
      <c r="N996" s="13">
        <v>19</v>
      </c>
      <c r="O996" s="15"/>
      <c r="P996" s="6">
        <v>42101.675752314812</v>
      </c>
      <c r="Q996" s="12"/>
      <c r="R996" s="17" t="s">
        <v>1721</v>
      </c>
      <c r="S996" s="12"/>
      <c r="T996" s="12"/>
      <c r="U996" s="10" t="str">
        <f>HYPERLINK("https://pbs.twimg.com/profile_images/865123852795367424/p4pK2M21.jpg","View")</f>
        <v>View</v>
      </c>
    </row>
    <row r="997" spans="1:21" ht="30.6">
      <c r="A997" s="6">
        <v>43438.929629629631</v>
      </c>
      <c r="B997" s="7" t="str">
        <f>HYPERLINK("https://twitter.com/_23Sergio","@_23Sergio")</f>
        <v>@_23Sergio</v>
      </c>
      <c r="C997" s="8" t="s">
        <v>3491</v>
      </c>
      <c r="D997" s="9" t="s">
        <v>3492</v>
      </c>
      <c r="E997" s="10" t="str">
        <f>HYPERLINK("https://twitter.com/_23Sergio/status/1070064871843266560","1070064871843266560")</f>
        <v>1070064871843266560</v>
      </c>
      <c r="F997" s="12"/>
      <c r="G997" s="11" t="s">
        <v>3493</v>
      </c>
      <c r="H997" s="12"/>
      <c r="I997" s="13">
        <v>6</v>
      </c>
      <c r="J997" s="13">
        <v>10</v>
      </c>
      <c r="K997" s="14" t="str">
        <f>HYPERLINK("http://twitter.com/download/android","Twitter for Android")</f>
        <v>Twitter for Android</v>
      </c>
      <c r="L997" s="13">
        <v>1344</v>
      </c>
      <c r="M997" s="13">
        <v>1825</v>
      </c>
      <c r="N997" s="13">
        <v>12</v>
      </c>
      <c r="O997" s="15"/>
      <c r="P997" s="6">
        <v>40503.781458333331</v>
      </c>
      <c r="Q997" s="16" t="s">
        <v>3494</v>
      </c>
      <c r="R997" s="17" t="s">
        <v>3495</v>
      </c>
      <c r="S997" s="12"/>
      <c r="T997" s="12"/>
      <c r="U997" s="10" t="str">
        <f>HYPERLINK("https://pbs.twimg.com/profile_images/959348744822157312/wUGKBFb3.jpg","View")</f>
        <v>View</v>
      </c>
    </row>
    <row r="998" spans="1:21" ht="20.399999999999999">
      <c r="A998" s="6">
        <v>43438.925173611111</v>
      </c>
      <c r="B998" s="7" t="str">
        <f>HYPERLINK("https://twitter.com/NotiAdictos","@NotiAdictos")</f>
        <v>@NotiAdictos</v>
      </c>
      <c r="C998" s="8" t="s">
        <v>3496</v>
      </c>
      <c r="D998" s="9" t="s">
        <v>2672</v>
      </c>
      <c r="E998" s="10" t="str">
        <f>HYPERLINK("https://twitter.com/NotiAdictos/status/1070063255593328642","1070063255593328642")</f>
        <v>1070063255593328642</v>
      </c>
      <c r="F998" s="11" t="s">
        <v>2719</v>
      </c>
      <c r="G998" s="11" t="s">
        <v>3497</v>
      </c>
      <c r="H998" s="12"/>
      <c r="I998" s="13">
        <v>0</v>
      </c>
      <c r="J998" s="13">
        <v>0</v>
      </c>
      <c r="K998" s="14" t="str">
        <f>HYPERLINK("http://epmundo.com","Tuiteo TOP EP (3)")</f>
        <v>Tuiteo TOP EP (3)</v>
      </c>
      <c r="L998" s="13">
        <v>51774</v>
      </c>
      <c r="M998" s="13">
        <v>52978</v>
      </c>
      <c r="N998" s="13">
        <v>133</v>
      </c>
      <c r="O998" s="15"/>
      <c r="P998" s="6">
        <v>42166.14534722222</v>
      </c>
      <c r="Q998" s="12"/>
      <c r="R998" s="17" t="s">
        <v>3498</v>
      </c>
      <c r="S998" s="12"/>
      <c r="T998" s="12"/>
      <c r="U998" s="10" t="str">
        <f>HYPERLINK("https://pbs.twimg.com/profile_images/913079381358243842/XvuFiomi.jpg","View")</f>
        <v>View</v>
      </c>
    </row>
    <row r="999" spans="1:21" ht="61.2">
      <c r="A999" s="6">
        <v>43438.921898148154</v>
      </c>
      <c r="B999" s="7" t="str">
        <f>HYPERLINK("https://twitter.com/Lamujerdedios1","@Lamujerdedios1")</f>
        <v>@Lamujerdedios1</v>
      </c>
      <c r="C999" s="8" t="s">
        <v>3499</v>
      </c>
      <c r="D999" s="9" t="s">
        <v>3500</v>
      </c>
      <c r="E999" s="10" t="str">
        <f>HYPERLINK("https://twitter.com/Lamujerdedios1/status/1070062066197770240","1070062066197770240")</f>
        <v>1070062066197770240</v>
      </c>
      <c r="F999" s="12"/>
      <c r="G999" s="12"/>
      <c r="H999" s="12"/>
      <c r="I999" s="13">
        <v>0</v>
      </c>
      <c r="J999" s="13">
        <v>0</v>
      </c>
      <c r="K999" s="14" t="str">
        <f>HYPERLINK("http://twitter.com","Twitter Web Client")</f>
        <v>Twitter Web Client</v>
      </c>
      <c r="L999" s="13">
        <v>6</v>
      </c>
      <c r="M999" s="13">
        <v>58</v>
      </c>
      <c r="N999" s="13">
        <v>0</v>
      </c>
      <c r="O999" s="15"/>
      <c r="P999" s="6">
        <v>43299.936932870369</v>
      </c>
      <c r="Q999" s="12"/>
      <c r="R999" s="20"/>
      <c r="S999" s="12"/>
      <c r="T999" s="12"/>
      <c r="U999" s="19" t="s">
        <v>359</v>
      </c>
    </row>
    <row r="1000" spans="1:21" ht="40.799999999999997">
      <c r="A1000" s="6">
        <v>43438.91679398148</v>
      </c>
      <c r="B1000" s="7" t="str">
        <f>HYPERLINK("https://twitter.com/miguelangel_efe","@miguelangel_efe")</f>
        <v>@miguelangel_efe</v>
      </c>
      <c r="C1000" s="8" t="s">
        <v>3220</v>
      </c>
      <c r="D1000" s="9" t="s">
        <v>3502</v>
      </c>
      <c r="E1000" s="10" t="str">
        <f>HYPERLINK("https://twitter.com/miguelangel_efe/status/1070060218653007872","1070060218653007872")</f>
        <v>1070060218653007872</v>
      </c>
      <c r="F1000" s="12"/>
      <c r="G1000" s="12"/>
      <c r="H1000" s="12"/>
      <c r="I1000" s="13">
        <v>0</v>
      </c>
      <c r="J1000" s="13">
        <v>2</v>
      </c>
      <c r="K1000" s="14" t="str">
        <f>HYPERLINK("http://twitter.com/download/iphone","Twitter for iPhone")</f>
        <v>Twitter for iPhone</v>
      </c>
      <c r="L1000" s="13">
        <v>610</v>
      </c>
      <c r="M1000" s="13">
        <v>477</v>
      </c>
      <c r="N1000" s="13">
        <v>9</v>
      </c>
      <c r="O1000" s="15"/>
      <c r="P1000" s="6">
        <v>41697.782465277778</v>
      </c>
      <c r="Q1000" s="12"/>
      <c r="R1000" s="17" t="s">
        <v>3222</v>
      </c>
      <c r="S1000" s="11" t="s">
        <v>3223</v>
      </c>
      <c r="T1000" s="12"/>
      <c r="U1000" s="10" t="str">
        <f>HYPERLINK("https://pbs.twimg.com/profile_images/659068845559291904/W5xgEpmq.jpg","View")</f>
        <v>View</v>
      </c>
    </row>
    <row r="1001" spans="1:21" ht="61.2">
      <c r="A1001" s="6">
        <v>43438.91474537037</v>
      </c>
      <c r="B1001" s="7" t="str">
        <f>HYPERLINK("https://twitter.com/LINCE74545899","@LINCE74545899")</f>
        <v>@LINCE74545899</v>
      </c>
      <c r="C1001" s="8" t="s">
        <v>3503</v>
      </c>
      <c r="D1001" s="9" t="s">
        <v>3504</v>
      </c>
      <c r="E1001" s="10" t="str">
        <f>HYPERLINK("https://twitter.com/LINCE74545899/status/1070059475636248577","1070059475636248577")</f>
        <v>1070059475636248577</v>
      </c>
      <c r="F1001" s="12"/>
      <c r="G1001" s="12"/>
      <c r="H1001" s="12"/>
      <c r="I1001" s="13">
        <v>0</v>
      </c>
      <c r="J1001" s="13">
        <v>0</v>
      </c>
      <c r="K1001" s="14" t="str">
        <f>HYPERLINK("http://twitter.com","Twitter Web Client")</f>
        <v>Twitter Web Client</v>
      </c>
      <c r="L1001" s="13">
        <v>73</v>
      </c>
      <c r="M1001" s="13">
        <v>128</v>
      </c>
      <c r="N1001" s="13">
        <v>0</v>
      </c>
      <c r="O1001" s="15"/>
      <c r="P1001" s="6">
        <v>43361.568344907406</v>
      </c>
      <c r="Q1001" s="12"/>
      <c r="R1001" s="20"/>
      <c r="S1001" s="12"/>
      <c r="T1001" s="12"/>
      <c r="U1001" s="10" t="str">
        <f>HYPERLINK("https://pbs.twimg.com/profile_images/1042017361551917056/MKvMmp6K.jpg","View")</f>
        <v>View</v>
      </c>
    </row>
    <row r="1002" spans="1:21" ht="30.6">
      <c r="A1002" s="6">
        <v>43438.912731481483</v>
      </c>
      <c r="B1002" s="7" t="str">
        <f>HYPERLINK("https://twitter.com/toribiogutierre","@toribiogutierre")</f>
        <v>@toribiogutierre</v>
      </c>
      <c r="C1002" s="8" t="s">
        <v>3505</v>
      </c>
      <c r="D1002" s="9" t="s">
        <v>3506</v>
      </c>
      <c r="E1002" s="10" t="str">
        <f>HYPERLINK("https://twitter.com/toribiogutierre/status/1070058745378541569","1070058745378541569")</f>
        <v>1070058745378541569</v>
      </c>
      <c r="F1002" s="12"/>
      <c r="G1002" s="12"/>
      <c r="H1002" s="12"/>
      <c r="I1002" s="13">
        <v>1</v>
      </c>
      <c r="J1002" s="13">
        <v>1</v>
      </c>
      <c r="K1002" s="14" t="str">
        <f t="shared" ref="K1002:K1003" si="171">HYPERLINK("http://twitter.com/download/android","Twitter for Android")</f>
        <v>Twitter for Android</v>
      </c>
      <c r="L1002" s="13">
        <v>792</v>
      </c>
      <c r="M1002" s="13">
        <v>758</v>
      </c>
      <c r="N1002" s="13">
        <v>5</v>
      </c>
      <c r="O1002" s="15"/>
      <c r="P1002" s="6">
        <v>41020.068831018521</v>
      </c>
      <c r="Q1002" s="16" t="s">
        <v>3507</v>
      </c>
      <c r="R1002" s="17" t="s">
        <v>3508</v>
      </c>
      <c r="S1002" s="12"/>
      <c r="T1002" s="12"/>
      <c r="U1002" s="10" t="str">
        <f>HYPERLINK("https://pbs.twimg.com/profile_images/997187414585098240/JJMe7BTp.jpg","View")</f>
        <v>View</v>
      </c>
    </row>
    <row r="1003" spans="1:21" ht="20.399999999999999">
      <c r="A1003" s="6">
        <v>43438.912152777775</v>
      </c>
      <c r="B1003" s="7" t="str">
        <f>HYPERLINK("https://twitter.com/CronicaTerminus","@CronicaTerminus")</f>
        <v>@CronicaTerminus</v>
      </c>
      <c r="C1003" s="8" t="s">
        <v>3509</v>
      </c>
      <c r="D1003" s="9" t="s">
        <v>3510</v>
      </c>
      <c r="E1003" s="10" t="str">
        <f>HYPERLINK("https://twitter.com/CronicaTerminus/status/1070058537966059521","1070058537966059521")</f>
        <v>1070058537966059521</v>
      </c>
      <c r="F1003" s="12"/>
      <c r="G1003" s="12"/>
      <c r="H1003" s="12"/>
      <c r="I1003" s="13">
        <v>0</v>
      </c>
      <c r="J1003" s="13">
        <v>0</v>
      </c>
      <c r="K1003" s="14" t="str">
        <f t="shared" si="171"/>
        <v>Twitter for Android</v>
      </c>
      <c r="L1003" s="13">
        <v>2</v>
      </c>
      <c r="M1003" s="13">
        <v>6</v>
      </c>
      <c r="N1003" s="13">
        <v>0</v>
      </c>
      <c r="O1003" s="15"/>
      <c r="P1003" s="6">
        <v>43414.024895833332</v>
      </c>
      <c r="Q1003" s="12"/>
      <c r="R1003" s="17" t="s">
        <v>3511</v>
      </c>
      <c r="S1003" s="12"/>
      <c r="T1003" s="12"/>
      <c r="U1003" s="10" t="str">
        <f>HYPERLINK("https://pbs.twimg.com/profile_images/1061177410043985920/B5YcGit-.jpg","View")</f>
        <v>View</v>
      </c>
    </row>
    <row r="1004" spans="1:21" ht="40.799999999999997">
      <c r="A1004" s="6">
        <v>43438.912129629629</v>
      </c>
      <c r="B1004" s="7" t="str">
        <f>HYPERLINK("https://twitter.com/marianofake","@marianofake")</f>
        <v>@marianofake</v>
      </c>
      <c r="C1004" s="8" t="s">
        <v>1715</v>
      </c>
      <c r="D1004" s="9" t="s">
        <v>3512</v>
      </c>
      <c r="E1004" s="10" t="str">
        <f>HYPERLINK("https://twitter.com/marianofake/status/1070058528784703488","1070058528784703488")</f>
        <v>1070058528784703488</v>
      </c>
      <c r="F1004" s="12"/>
      <c r="G1004" s="12"/>
      <c r="H1004" s="12"/>
      <c r="I1004" s="13">
        <v>4</v>
      </c>
      <c r="J1004" s="13">
        <v>9</v>
      </c>
      <c r="K1004" s="14" t="str">
        <f>HYPERLINK("https://mobile.twitter.com","Twitter Lite")</f>
        <v>Twitter Lite</v>
      </c>
      <c r="L1004" s="13">
        <v>6144</v>
      </c>
      <c r="M1004" s="13">
        <v>3153</v>
      </c>
      <c r="N1004" s="13">
        <v>19</v>
      </c>
      <c r="O1004" s="15"/>
      <c r="P1004" s="6">
        <v>42101.675752314812</v>
      </c>
      <c r="Q1004" s="12"/>
      <c r="R1004" s="17" t="s">
        <v>1721</v>
      </c>
      <c r="S1004" s="12"/>
      <c r="T1004" s="12"/>
      <c r="U1004" s="10" t="str">
        <f>HYPERLINK("https://pbs.twimg.com/profile_images/865123852795367424/p4pK2M21.jpg","View")</f>
        <v>View</v>
      </c>
    </row>
    <row r="1005" spans="1:21" ht="40.799999999999997">
      <c r="A1005" s="6">
        <v>43438.907430555555</v>
      </c>
      <c r="B1005" s="7" t="str">
        <f>HYPERLINK("https://twitter.com/VicentVG","@VicentVG")</f>
        <v>@VicentVG</v>
      </c>
      <c r="C1005" s="8" t="s">
        <v>3513</v>
      </c>
      <c r="D1005" s="9" t="s">
        <v>973</v>
      </c>
      <c r="E1005" s="10" t="str">
        <f>HYPERLINK("https://twitter.com/VicentVG/status/1070056824282451968","1070056824282451968")</f>
        <v>1070056824282451968</v>
      </c>
      <c r="F1005" s="11" t="s">
        <v>974</v>
      </c>
      <c r="G1005" s="12"/>
      <c r="H1005" s="12"/>
      <c r="I1005" s="13">
        <v>0</v>
      </c>
      <c r="J1005" s="13">
        <v>1</v>
      </c>
      <c r="K1005" s="14" t="str">
        <f t="shared" ref="K1005:K1006" si="172">HYPERLINK("http://www.facebook.com/twitter","Facebook")</f>
        <v>Facebook</v>
      </c>
      <c r="L1005" s="13">
        <v>3087</v>
      </c>
      <c r="M1005" s="13">
        <v>3248</v>
      </c>
      <c r="N1005" s="13">
        <v>75</v>
      </c>
      <c r="O1005" s="15"/>
      <c r="P1005" s="6">
        <v>40546.790405092594</v>
      </c>
      <c r="Q1005" s="16" t="s">
        <v>328</v>
      </c>
      <c r="R1005" s="17" t="s">
        <v>3514</v>
      </c>
      <c r="S1005" s="11" t="s">
        <v>3515</v>
      </c>
      <c r="T1005" s="12"/>
      <c r="U1005" s="10" t="str">
        <f>HYPERLINK("https://pbs.twimg.com/profile_images/1026851693009494022/gUXZtQzB.jpg","View")</f>
        <v>View</v>
      </c>
    </row>
    <row r="1006" spans="1:21" ht="20.399999999999999">
      <c r="A1006" s="6">
        <v>43438.904085648144</v>
      </c>
      <c r="B1006" s="7" t="str">
        <f>HYPERLINK("https://twitter.com/doloreslacalle","@doloreslacalle")</f>
        <v>@doloreslacalle</v>
      </c>
      <c r="C1006" s="8" t="s">
        <v>3516</v>
      </c>
      <c r="D1006" s="9" t="s">
        <v>3517</v>
      </c>
      <c r="E1006" s="10" t="str">
        <f>HYPERLINK("https://twitter.com/doloreslacalle/status/1070055613789540354","1070055613789540354")</f>
        <v>1070055613789540354</v>
      </c>
      <c r="F1006" s="11" t="s">
        <v>3518</v>
      </c>
      <c r="G1006" s="12"/>
      <c r="H1006" s="12"/>
      <c r="I1006" s="13">
        <v>0</v>
      </c>
      <c r="J1006" s="13">
        <v>0</v>
      </c>
      <c r="K1006" s="14" t="str">
        <f t="shared" si="172"/>
        <v>Facebook</v>
      </c>
      <c r="L1006" s="13">
        <v>19</v>
      </c>
      <c r="M1006" s="13">
        <v>47</v>
      </c>
      <c r="N1006" s="13">
        <v>0</v>
      </c>
      <c r="O1006" s="15"/>
      <c r="P1006" s="6">
        <v>41277.46539351852</v>
      </c>
      <c r="Q1006" s="12"/>
      <c r="R1006" s="20"/>
      <c r="S1006" s="12"/>
      <c r="T1006" s="12"/>
      <c r="U1006" s="10" t="str">
        <f>HYPERLINK("https://pbs.twimg.com/profile_images/796726168531718144/EXw2r8uI.jpg","View")</f>
        <v>View</v>
      </c>
    </row>
    <row r="1007" spans="1:21" ht="51">
      <c r="A1007" s="6">
        <v>43438.902997685189</v>
      </c>
      <c r="B1007" s="7" t="str">
        <f>HYPERLINK("https://twitter.com/AlbertoSBlanco","@AlbertoSBlanco")</f>
        <v>@AlbertoSBlanco</v>
      </c>
      <c r="C1007" s="8" t="s">
        <v>2870</v>
      </c>
      <c r="D1007" s="9" t="s">
        <v>3519</v>
      </c>
      <c r="E1007" s="10" t="str">
        <f>HYPERLINK("https://twitter.com/AlbertoSBlanco/status/1070055220942651393","1070055220942651393")</f>
        <v>1070055220942651393</v>
      </c>
      <c r="F1007" s="12"/>
      <c r="G1007" s="12"/>
      <c r="H1007" s="12"/>
      <c r="I1007" s="13">
        <v>1</v>
      </c>
      <c r="J1007" s="13">
        <v>1</v>
      </c>
      <c r="K1007" s="14" t="str">
        <f t="shared" ref="K1007:K1008" si="173">HYPERLINK("http://twitter.com/download/android","Twitter for Android")</f>
        <v>Twitter for Android</v>
      </c>
      <c r="L1007" s="13">
        <v>2667</v>
      </c>
      <c r="M1007" s="13">
        <v>1400</v>
      </c>
      <c r="N1007" s="13">
        <v>33</v>
      </c>
      <c r="O1007" s="15"/>
      <c r="P1007" s="6">
        <v>40747.720636574071</v>
      </c>
      <c r="Q1007" s="12"/>
      <c r="R1007" s="17" t="s">
        <v>2873</v>
      </c>
      <c r="S1007" s="11" t="s">
        <v>2874</v>
      </c>
      <c r="T1007" s="12"/>
      <c r="U1007" s="10" t="str">
        <f>HYPERLINK("https://pbs.twimg.com/profile_images/966330983829135360/yRqQ0NN1.jpg","View")</f>
        <v>View</v>
      </c>
    </row>
    <row r="1008" spans="1:21" ht="51">
      <c r="A1008" s="6">
        <v>43438.899641203709</v>
      </c>
      <c r="B1008" s="7" t="str">
        <f>HYPERLINK("https://twitter.com/Jastarojo","@Jastarojo")</f>
        <v>@Jastarojo</v>
      </c>
      <c r="C1008" s="8" t="s">
        <v>3520</v>
      </c>
      <c r="D1008" s="9" t="s">
        <v>3521</v>
      </c>
      <c r="E1008" s="10" t="str">
        <f>HYPERLINK("https://twitter.com/Jastarojo/status/1070054001801089025","1070054001801089025")</f>
        <v>1070054001801089025</v>
      </c>
      <c r="F1008" s="12"/>
      <c r="G1008" s="11" t="s">
        <v>3522</v>
      </c>
      <c r="H1008" s="12"/>
      <c r="I1008" s="13">
        <v>13</v>
      </c>
      <c r="J1008" s="13">
        <v>10</v>
      </c>
      <c r="K1008" s="14" t="str">
        <f t="shared" si="173"/>
        <v>Twitter for Android</v>
      </c>
      <c r="L1008" s="13">
        <v>141</v>
      </c>
      <c r="M1008" s="13">
        <v>60</v>
      </c>
      <c r="N1008" s="13">
        <v>5</v>
      </c>
      <c r="O1008" s="15"/>
      <c r="P1008" s="6">
        <v>40919.16951388889</v>
      </c>
      <c r="Q1008" s="12"/>
      <c r="R1008" s="17" t="s">
        <v>3523</v>
      </c>
      <c r="S1008" s="12"/>
      <c r="T1008" s="12"/>
      <c r="U1008" s="10" t="str">
        <f>HYPERLINK("https://pbs.twimg.com/profile_images/879770124588371973/6MnzADdX.jpg","View")</f>
        <v>View</v>
      </c>
    </row>
    <row r="1009" spans="1:21" ht="51">
      <c r="A1009" s="6">
        <v>43438.899363425924</v>
      </c>
      <c r="B1009" s="7" t="str">
        <f>HYPERLINK("https://twitter.com/gabrielrufian","@gabrielrufian")</f>
        <v>@gabrielrufian</v>
      </c>
      <c r="C1009" s="8" t="s">
        <v>3524</v>
      </c>
      <c r="D1009" s="9" t="s">
        <v>3048</v>
      </c>
      <c r="E1009" s="10" t="str">
        <f>HYPERLINK("https://twitter.com/gabrielrufian/status/1070053903570530304","1070053903570530304")</f>
        <v>1070053903570530304</v>
      </c>
      <c r="F1009" s="12"/>
      <c r="G1009" s="12"/>
      <c r="H1009" s="12"/>
      <c r="I1009" s="13">
        <v>6807</v>
      </c>
      <c r="J1009" s="13">
        <v>17531</v>
      </c>
      <c r="K1009" s="14" t="str">
        <f>HYPERLINK("http://twitter.com/download/iphone","Twitter for iPhone")</f>
        <v>Twitter for iPhone</v>
      </c>
      <c r="L1009" s="13">
        <v>616385</v>
      </c>
      <c r="M1009" s="13">
        <v>4690</v>
      </c>
      <c r="N1009" s="13">
        <v>2287</v>
      </c>
      <c r="O1009" s="19" t="s">
        <v>44</v>
      </c>
      <c r="P1009" s="6">
        <v>41977.464050925926</v>
      </c>
      <c r="Q1009" s="12"/>
      <c r="R1009" s="17" t="s">
        <v>3526</v>
      </c>
      <c r="S1009" s="11" t="s">
        <v>3527</v>
      </c>
      <c r="T1009" s="12"/>
      <c r="U1009" s="10" t="str">
        <f>HYPERLINK("https://pbs.twimg.com/profile_images/926514695498096640/KtMp99pO.jpg","View")</f>
        <v>View</v>
      </c>
    </row>
    <row r="1010" spans="1:21" ht="40.799999999999997">
      <c r="A1010" s="6">
        <v>43438.898611111115</v>
      </c>
      <c r="B1010" s="7" t="str">
        <f>HYPERLINK("https://twitter.com/norcatalan","@norcatalan")</f>
        <v>@norcatalan</v>
      </c>
      <c r="C1010" s="8" t="s">
        <v>3528</v>
      </c>
      <c r="D1010" s="9" t="s">
        <v>3529</v>
      </c>
      <c r="E1010" s="10" t="str">
        <f>HYPERLINK("https://twitter.com/norcatalan/status/1070053629099425792","1070053629099425792")</f>
        <v>1070053629099425792</v>
      </c>
      <c r="F1010" s="12"/>
      <c r="G1010" s="12"/>
      <c r="H1010" s="12"/>
      <c r="I1010" s="13">
        <v>17</v>
      </c>
      <c r="J1010" s="13">
        <v>66</v>
      </c>
      <c r="K1010" s="14" t="str">
        <f>HYPERLINK("https://about.twitter.com/products/tweetdeck","TweetDeck")</f>
        <v>TweetDeck</v>
      </c>
      <c r="L1010" s="13">
        <v>13613</v>
      </c>
      <c r="M1010" s="13">
        <v>29</v>
      </c>
      <c r="N1010" s="13">
        <v>46</v>
      </c>
      <c r="O1010" s="15"/>
      <c r="P1010" s="6">
        <v>43032.844004629631</v>
      </c>
      <c r="Q1010" s="16" t="s">
        <v>3530</v>
      </c>
      <c r="R1010" s="17" t="s">
        <v>3531</v>
      </c>
      <c r="S1010" s="11" t="s">
        <v>3532</v>
      </c>
      <c r="T1010" s="12"/>
      <c r="U1010" s="10" t="str">
        <f>HYPERLINK("https://pbs.twimg.com/profile_images/922896848737665024/2txos7aK.jpg","View")</f>
        <v>View</v>
      </c>
    </row>
    <row r="1011" spans="1:21" ht="51">
      <c r="A1011" s="6">
        <v>43438.897893518515</v>
      </c>
      <c r="B1011" s="7" t="str">
        <f>HYPERLINK("https://twitter.com/europapress","@europapress")</f>
        <v>@europapress</v>
      </c>
      <c r="C1011" s="8" t="s">
        <v>1967</v>
      </c>
      <c r="D1011" s="9" t="s">
        <v>3533</v>
      </c>
      <c r="E1011" s="10" t="str">
        <f>HYPERLINK("https://twitter.com/europapress/status/1070053368318607363","1070053368318607363")</f>
        <v>1070053368318607363</v>
      </c>
      <c r="F1011" s="12"/>
      <c r="G1011" s="11" t="s">
        <v>3534</v>
      </c>
      <c r="H1011" s="12"/>
      <c r="I1011" s="13">
        <v>17</v>
      </c>
      <c r="J1011" s="13">
        <v>31</v>
      </c>
      <c r="K1011" s="14" t="str">
        <f>HYPERLINK("http://twitter.com","Twitter Web Client")</f>
        <v>Twitter Web Client</v>
      </c>
      <c r="L1011" s="13">
        <v>1100735</v>
      </c>
      <c r="M1011" s="13">
        <v>1101</v>
      </c>
      <c r="N1011" s="13">
        <v>13751</v>
      </c>
      <c r="O1011" s="19" t="s">
        <v>44</v>
      </c>
      <c r="P1011" s="6">
        <v>40246.461956018517</v>
      </c>
      <c r="Q1011" s="12"/>
      <c r="R1011" s="17" t="s">
        <v>3535</v>
      </c>
      <c r="S1011" s="11" t="s">
        <v>3536</v>
      </c>
      <c r="T1011" s="12"/>
      <c r="U1011" s="10" t="str">
        <f>HYPERLINK("https://pbs.twimg.com/profile_images/876740155473788928/4V7ewUTC.jpg","View")</f>
        <v>View</v>
      </c>
    </row>
    <row r="1012" spans="1:21" ht="40.799999999999997">
      <c r="A1012" s="6">
        <v>43438.897395833337</v>
      </c>
      <c r="B1012" s="7" t="str">
        <f>HYPERLINK("https://twitter.com/pacorfigueroa","@pacorfigueroa")</f>
        <v>@pacorfigueroa</v>
      </c>
      <c r="C1012" s="8" t="s">
        <v>3537</v>
      </c>
      <c r="D1012" s="9" t="s">
        <v>3538</v>
      </c>
      <c r="E1012" s="10" t="str">
        <f>HYPERLINK("https://twitter.com/pacorfigueroa/status/1070053187334365185","1070053187334365185")</f>
        <v>1070053187334365185</v>
      </c>
      <c r="F1012" s="12"/>
      <c r="G1012" s="12"/>
      <c r="H1012" s="12"/>
      <c r="I1012" s="13">
        <v>0</v>
      </c>
      <c r="J1012" s="13">
        <v>0</v>
      </c>
      <c r="K1012" s="14" t="str">
        <f t="shared" ref="K1012:K1018" si="174">HYPERLINK("http://twitter.com/download/android","Twitter for Android")</f>
        <v>Twitter for Android</v>
      </c>
      <c r="L1012" s="13">
        <v>258</v>
      </c>
      <c r="M1012" s="13">
        <v>790</v>
      </c>
      <c r="N1012" s="13">
        <v>9</v>
      </c>
      <c r="O1012" s="15"/>
      <c r="P1012" s="6">
        <v>40541.434421296297</v>
      </c>
      <c r="Q1012" s="16" t="s">
        <v>191</v>
      </c>
      <c r="R1012" s="17" t="s">
        <v>3539</v>
      </c>
      <c r="S1012" s="12"/>
      <c r="T1012" s="12"/>
      <c r="U1012" s="10" t="str">
        <f>HYPERLINK("https://pbs.twimg.com/profile_images/822878785687212032/ykSKwqu6.jpg","View")</f>
        <v>View</v>
      </c>
    </row>
    <row r="1013" spans="1:21" ht="40.799999999999997">
      <c r="A1013" s="6">
        <v>43438.897349537037</v>
      </c>
      <c r="B1013" s="7" t="str">
        <f>HYPERLINK("https://twitter.com/compromtido22","@compromtido22")</f>
        <v>@compromtido22</v>
      </c>
      <c r="C1013" s="8" t="s">
        <v>702</v>
      </c>
      <c r="D1013" s="9" t="s">
        <v>3540</v>
      </c>
      <c r="E1013" s="10" t="str">
        <f>HYPERLINK("https://twitter.com/compromtido22/status/1070053171580596224","1070053171580596224")</f>
        <v>1070053171580596224</v>
      </c>
      <c r="F1013" s="12"/>
      <c r="G1013" s="12"/>
      <c r="H1013" s="12"/>
      <c r="I1013" s="13">
        <v>0</v>
      </c>
      <c r="J1013" s="13">
        <v>0</v>
      </c>
      <c r="K1013" s="14" t="str">
        <f t="shared" si="174"/>
        <v>Twitter for Android</v>
      </c>
      <c r="L1013" s="13">
        <v>955</v>
      </c>
      <c r="M1013" s="13">
        <v>858</v>
      </c>
      <c r="N1013" s="13">
        <v>15</v>
      </c>
      <c r="O1013" s="15"/>
      <c r="P1013" s="6">
        <v>42411.832291666666</v>
      </c>
      <c r="Q1013" s="12"/>
      <c r="R1013" s="17" t="s">
        <v>704</v>
      </c>
      <c r="S1013" s="12"/>
      <c r="T1013" s="12"/>
      <c r="U1013" s="10" t="str">
        <f>HYPERLINK("https://pbs.twimg.com/profile_images/1062806370267860993/RfSkyzB-.jpg","View")</f>
        <v>View</v>
      </c>
    </row>
    <row r="1014" spans="1:21" ht="20.399999999999999">
      <c r="A1014" s="6">
        <v>43438.893912037034</v>
      </c>
      <c r="B1014" s="7" t="str">
        <f>HYPERLINK("https://twitter.com/baja_clase","@baja_clase")</f>
        <v>@baja_clase</v>
      </c>
      <c r="C1014" s="8" t="s">
        <v>3541</v>
      </c>
      <c r="D1014" s="9" t="s">
        <v>3542</v>
      </c>
      <c r="E1014" s="10" t="str">
        <f>HYPERLINK("https://twitter.com/baja_clase/status/1070051925712875521","1070051925712875521")</f>
        <v>1070051925712875521</v>
      </c>
      <c r="F1014" s="12"/>
      <c r="G1014" s="11" t="s">
        <v>3543</v>
      </c>
      <c r="H1014" s="12"/>
      <c r="I1014" s="13">
        <v>0</v>
      </c>
      <c r="J1014" s="13">
        <v>0</v>
      </c>
      <c r="K1014" s="14" t="str">
        <f t="shared" si="174"/>
        <v>Twitter for Android</v>
      </c>
      <c r="L1014" s="13">
        <v>36</v>
      </c>
      <c r="M1014" s="13">
        <v>59</v>
      </c>
      <c r="N1014" s="13">
        <v>0</v>
      </c>
      <c r="O1014" s="15"/>
      <c r="P1014" s="6">
        <v>43384.92086805556</v>
      </c>
      <c r="Q1014" s="16" t="s">
        <v>3544</v>
      </c>
      <c r="R1014" s="17" t="s">
        <v>3545</v>
      </c>
      <c r="S1014" s="12"/>
      <c r="T1014" s="12"/>
      <c r="U1014" s="10" t="str">
        <f>HYPERLINK("https://pbs.twimg.com/profile_images/1050484862971506693/u2h-GM6P.jpg","View")</f>
        <v>View</v>
      </c>
    </row>
    <row r="1015" spans="1:21" ht="20.399999999999999">
      <c r="A1015" s="6">
        <v>43438.889317129629</v>
      </c>
      <c r="B1015" s="7" t="str">
        <f>HYPERLINK("https://twitter.com/silvia0907","@silvia0907")</f>
        <v>@silvia0907</v>
      </c>
      <c r="C1015" s="8" t="s">
        <v>3546</v>
      </c>
      <c r="D1015" s="9" t="s">
        <v>3547</v>
      </c>
      <c r="E1015" s="10" t="str">
        <f>HYPERLINK("https://twitter.com/silvia0907/status/1070050262360973314","1070050262360973314")</f>
        <v>1070050262360973314</v>
      </c>
      <c r="F1015" s="12"/>
      <c r="G1015" s="12"/>
      <c r="H1015" s="12"/>
      <c r="I1015" s="13">
        <v>3</v>
      </c>
      <c r="J1015" s="13">
        <v>2</v>
      </c>
      <c r="K1015" s="14" t="str">
        <f t="shared" si="174"/>
        <v>Twitter for Android</v>
      </c>
      <c r="L1015" s="13">
        <v>3671</v>
      </c>
      <c r="M1015" s="13">
        <v>63</v>
      </c>
      <c r="N1015" s="13">
        <v>53</v>
      </c>
      <c r="O1015" s="15"/>
      <c r="P1015" s="6">
        <v>41394.656006944446</v>
      </c>
      <c r="Q1015" s="16" t="s">
        <v>191</v>
      </c>
      <c r="R1015" s="17" t="s">
        <v>3548</v>
      </c>
      <c r="S1015" s="12"/>
      <c r="T1015" s="12"/>
      <c r="U1015" s="10" t="str">
        <f>HYPERLINK("https://pbs.twimg.com/profile_images/967044247273791489/I3V7XbPG.jpg","View")</f>
        <v>View</v>
      </c>
    </row>
    <row r="1016" spans="1:21" ht="40.799999999999997">
      <c r="A1016" s="6">
        <v>43438.888252314813</v>
      </c>
      <c r="B1016" s="7" t="str">
        <f>HYPERLINK("https://twitter.com/pacorfigueroa","@pacorfigueroa")</f>
        <v>@pacorfigueroa</v>
      </c>
      <c r="C1016" s="8" t="s">
        <v>3537</v>
      </c>
      <c r="D1016" s="9" t="s">
        <v>3549</v>
      </c>
      <c r="E1016" s="10" t="str">
        <f>HYPERLINK("https://twitter.com/pacorfigueroa/status/1070049874153037829","1070049874153037829")</f>
        <v>1070049874153037829</v>
      </c>
      <c r="F1016" s="12"/>
      <c r="G1016" s="12"/>
      <c r="H1016" s="12"/>
      <c r="I1016" s="13">
        <v>0</v>
      </c>
      <c r="J1016" s="13">
        <v>0</v>
      </c>
      <c r="K1016" s="14" t="str">
        <f t="shared" si="174"/>
        <v>Twitter for Android</v>
      </c>
      <c r="L1016" s="13">
        <v>258</v>
      </c>
      <c r="M1016" s="13">
        <v>790</v>
      </c>
      <c r="N1016" s="13">
        <v>9</v>
      </c>
      <c r="O1016" s="15"/>
      <c r="P1016" s="6">
        <v>40541.434421296297</v>
      </c>
      <c r="Q1016" s="16" t="s">
        <v>191</v>
      </c>
      <c r="R1016" s="17" t="s">
        <v>3539</v>
      </c>
      <c r="S1016" s="12"/>
      <c r="T1016" s="12"/>
      <c r="U1016" s="10" t="str">
        <f>HYPERLINK("https://pbs.twimg.com/profile_images/822878785687212032/ykSKwqu6.jpg","View")</f>
        <v>View</v>
      </c>
    </row>
    <row r="1017" spans="1:21" ht="20.399999999999999">
      <c r="A1017" s="6">
        <v>43438.887881944444</v>
      </c>
      <c r="B1017" s="7" t="str">
        <f>HYPERLINK("https://twitter.com/sercanesp","@sercanesp")</f>
        <v>@sercanesp</v>
      </c>
      <c r="C1017" s="8" t="s">
        <v>3491</v>
      </c>
      <c r="D1017" s="9" t="s">
        <v>3550</v>
      </c>
      <c r="E1017" s="10" t="str">
        <f>HYPERLINK("https://twitter.com/sercanesp/status/1070049739503214592","1070049739503214592")</f>
        <v>1070049739503214592</v>
      </c>
      <c r="F1017" s="12"/>
      <c r="G1017" s="12"/>
      <c r="H1017" s="12"/>
      <c r="I1017" s="13">
        <v>4</v>
      </c>
      <c r="J1017" s="13">
        <v>3</v>
      </c>
      <c r="K1017" s="14" t="str">
        <f t="shared" si="174"/>
        <v>Twitter for Android</v>
      </c>
      <c r="L1017" s="13">
        <v>1137</v>
      </c>
      <c r="M1017" s="13">
        <v>3560</v>
      </c>
      <c r="N1017" s="13">
        <v>91</v>
      </c>
      <c r="O1017" s="15"/>
      <c r="P1017" s="6">
        <v>40576.779953703706</v>
      </c>
      <c r="Q1017" s="16" t="s">
        <v>3551</v>
      </c>
      <c r="R1017" s="17" t="s">
        <v>3552</v>
      </c>
      <c r="S1017" s="11" t="s">
        <v>3553</v>
      </c>
      <c r="T1017" s="12"/>
      <c r="U1017" s="10" t="str">
        <f>HYPERLINK("https://pbs.twimg.com/profile_images/1068573757688741891/FOgRdDWE.jpg","View")</f>
        <v>View</v>
      </c>
    </row>
    <row r="1018" spans="1:21" ht="30.6">
      <c r="A1018" s="6">
        <v>43438.887465277774</v>
      </c>
      <c r="B1018" s="7" t="str">
        <f>HYPERLINK("https://twitter.com/ManuelNuezAguil","@ManuelNuezAguil")</f>
        <v>@ManuelNuezAguil</v>
      </c>
      <c r="C1018" s="8" t="s">
        <v>3554</v>
      </c>
      <c r="D1018" s="9" t="s">
        <v>3555</v>
      </c>
      <c r="E1018" s="10" t="str">
        <f>HYPERLINK("https://twitter.com/ManuelNuezAguil/status/1070049589170982913","1070049589170982913")</f>
        <v>1070049589170982913</v>
      </c>
      <c r="F1018" s="12"/>
      <c r="G1018" s="12"/>
      <c r="H1018" s="12"/>
      <c r="I1018" s="13">
        <v>0</v>
      </c>
      <c r="J1018" s="13">
        <v>0</v>
      </c>
      <c r="K1018" s="14" t="str">
        <f t="shared" si="174"/>
        <v>Twitter for Android</v>
      </c>
      <c r="L1018" s="13">
        <v>80</v>
      </c>
      <c r="M1018" s="13">
        <v>147</v>
      </c>
      <c r="N1018" s="13">
        <v>1</v>
      </c>
      <c r="O1018" s="15"/>
      <c r="P1018" s="6">
        <v>41367.059212962966</v>
      </c>
      <c r="Q1018" s="12"/>
      <c r="R1018" s="17" t="s">
        <v>3556</v>
      </c>
      <c r="S1018" s="12"/>
      <c r="T1018" s="12"/>
      <c r="U1018" s="10" t="str">
        <f>HYPERLINK("https://pbs.twimg.com/profile_images/3468815123/66690df629594539a69a6473e559e58f.jpeg","View")</f>
        <v>View</v>
      </c>
    </row>
    <row r="1019" spans="1:21" ht="30.6">
      <c r="A1019" s="6">
        <v>43438.887453703705</v>
      </c>
      <c r="B1019" s="7" t="str">
        <f>HYPERLINK("https://twitter.com/ElHuffPost","@ElHuffPost")</f>
        <v>@ElHuffPost</v>
      </c>
      <c r="C1019" s="8" t="s">
        <v>106</v>
      </c>
      <c r="D1019" s="9" t="s">
        <v>3557</v>
      </c>
      <c r="E1019" s="10" t="str">
        <f>HYPERLINK("https://twitter.com/ElHuffPost/status/1070049587233259520","1070049587233259520")</f>
        <v>1070049587233259520</v>
      </c>
      <c r="F1019" s="11" t="s">
        <v>3558</v>
      </c>
      <c r="G1019" s="12"/>
      <c r="H1019" s="12"/>
      <c r="I1019" s="13">
        <v>10</v>
      </c>
      <c r="J1019" s="13">
        <v>13</v>
      </c>
      <c r="K1019" s="14" t="str">
        <f>HYPERLINK("https://about.twitter.com/products/tweetdeck","TweetDeck")</f>
        <v>TweetDeck</v>
      </c>
      <c r="L1019" s="13">
        <v>431182</v>
      </c>
      <c r="M1019" s="13">
        <v>1551</v>
      </c>
      <c r="N1019" s="13">
        <v>8193</v>
      </c>
      <c r="O1019" s="19" t="s">
        <v>44</v>
      </c>
      <c r="P1019" s="6">
        <v>40785.027118055557</v>
      </c>
      <c r="Q1019" s="16" t="s">
        <v>109</v>
      </c>
      <c r="R1019" s="17" t="s">
        <v>110</v>
      </c>
      <c r="S1019" s="11" t="s">
        <v>111</v>
      </c>
      <c r="T1019" s="12"/>
      <c r="U1019" s="10" t="str">
        <f>HYPERLINK("https://pbs.twimg.com/profile_images/921140803422089217/ETOEUOAx.jpg","View")</f>
        <v>View</v>
      </c>
    </row>
    <row r="1020" spans="1:21" ht="40.799999999999997">
      <c r="A1020" s="6">
        <v>43438.883148148147</v>
      </c>
      <c r="B1020" s="7" t="str">
        <f>HYPERLINK("https://twitter.com/Moli_Manu","@Moli_Manu")</f>
        <v>@Moli_Manu</v>
      </c>
      <c r="C1020" s="8" t="s">
        <v>3559</v>
      </c>
      <c r="D1020" s="9" t="s">
        <v>3560</v>
      </c>
      <c r="E1020" s="10" t="str">
        <f>HYPERLINK("https://twitter.com/Moli_Manu/status/1070048026155249664","1070048026155249664")</f>
        <v>1070048026155249664</v>
      </c>
      <c r="F1020" s="11" t="s">
        <v>3561</v>
      </c>
      <c r="G1020" s="11" t="s">
        <v>3562</v>
      </c>
      <c r="H1020" s="12"/>
      <c r="I1020" s="13">
        <v>0</v>
      </c>
      <c r="J1020" s="13">
        <v>0</v>
      </c>
      <c r="K1020" s="14" t="str">
        <f t="shared" ref="K1020:K1021" si="175">HYPERLINK("http://twitter.com","Twitter Web Client")</f>
        <v>Twitter Web Client</v>
      </c>
      <c r="L1020" s="13">
        <v>847</v>
      </c>
      <c r="M1020" s="13">
        <v>1205</v>
      </c>
      <c r="N1020" s="13">
        <v>10</v>
      </c>
      <c r="O1020" s="15"/>
      <c r="P1020" s="6">
        <v>40670.654930555553</v>
      </c>
      <c r="Q1020" s="16" t="s">
        <v>3563</v>
      </c>
      <c r="R1020" s="17" t="s">
        <v>3564</v>
      </c>
      <c r="S1020" s="12"/>
      <c r="T1020" s="12"/>
      <c r="U1020" s="10" t="str">
        <f>HYPERLINK("https://pbs.twimg.com/profile_images/1057539540615917568/nXSKws1P.jpg","View")</f>
        <v>View</v>
      </c>
    </row>
    <row r="1021" spans="1:21" ht="30.6">
      <c r="A1021" s="6">
        <v>43438.882986111115</v>
      </c>
      <c r="B1021" s="7" t="str">
        <f>HYPERLINK("https://twitter.com/ampl48","@ampl48")</f>
        <v>@ampl48</v>
      </c>
      <c r="C1021" s="8" t="s">
        <v>628</v>
      </c>
      <c r="D1021" s="9" t="s">
        <v>3565</v>
      </c>
      <c r="E1021" s="10" t="str">
        <f>HYPERLINK("https://twitter.com/ampl48/status/1070047967531409410","1070047967531409410")</f>
        <v>1070047967531409410</v>
      </c>
      <c r="F1021" s="11" t="s">
        <v>3566</v>
      </c>
      <c r="G1021" s="12"/>
      <c r="H1021" s="12"/>
      <c r="I1021" s="13">
        <v>1</v>
      </c>
      <c r="J1021" s="13">
        <v>0</v>
      </c>
      <c r="K1021" s="14" t="str">
        <f t="shared" si="175"/>
        <v>Twitter Web Client</v>
      </c>
      <c r="L1021" s="13">
        <v>1366</v>
      </c>
      <c r="M1021" s="13">
        <v>2169</v>
      </c>
      <c r="N1021" s="13">
        <v>52</v>
      </c>
      <c r="O1021" s="15"/>
      <c r="P1021" s="6">
        <v>40814.612280092595</v>
      </c>
      <c r="Q1021" s="16" t="s">
        <v>209</v>
      </c>
      <c r="R1021" s="17" t="s">
        <v>629</v>
      </c>
      <c r="S1021" s="12"/>
      <c r="T1021" s="12"/>
      <c r="U1021" s="10" t="str">
        <f>HYPERLINK("https://pbs.twimg.com/profile_images/663500601351892993/p91GeEcT.jpg","View")</f>
        <v>View</v>
      </c>
    </row>
    <row r="1022" spans="1:21" ht="30.6">
      <c r="A1022" s="6">
        <v>43438.881793981476</v>
      </c>
      <c r="B1022" s="7" t="str">
        <f>HYPERLINK("https://twitter.com/arquera54","@arquera54")</f>
        <v>@arquera54</v>
      </c>
      <c r="C1022" s="8" t="s">
        <v>3567</v>
      </c>
      <c r="D1022" s="9" t="s">
        <v>3568</v>
      </c>
      <c r="E1022" s="10" t="str">
        <f>HYPERLINK("https://twitter.com/arquera54/status/1070047536235327491","1070047536235327491")</f>
        <v>1070047536235327491</v>
      </c>
      <c r="F1022" s="11" t="s">
        <v>3570</v>
      </c>
      <c r="G1022" s="12"/>
      <c r="H1022" s="12"/>
      <c r="I1022" s="13">
        <v>0</v>
      </c>
      <c r="J1022" s="13">
        <v>0</v>
      </c>
      <c r="K1022" s="14" t="str">
        <f>HYPERLINK("http://twitter.com/download/android","Twitter for Android")</f>
        <v>Twitter for Android</v>
      </c>
      <c r="L1022" s="13">
        <v>6059</v>
      </c>
      <c r="M1022" s="13">
        <v>6418</v>
      </c>
      <c r="N1022" s="13">
        <v>40</v>
      </c>
      <c r="O1022" s="15"/>
      <c r="P1022" s="6">
        <v>41226.531539351854</v>
      </c>
      <c r="Q1022" s="16" t="s">
        <v>1455</v>
      </c>
      <c r="R1022" s="17" t="s">
        <v>3571</v>
      </c>
      <c r="S1022" s="12"/>
      <c r="T1022" s="12"/>
      <c r="U1022" s="10" t="str">
        <f>HYPERLINK("https://pbs.twimg.com/profile_images/412275433367814144/8w21m6MN.jpeg","View")</f>
        <v>View</v>
      </c>
    </row>
    <row r="1023" spans="1:21" ht="40.799999999999997">
      <c r="A1023" s="6">
        <v>43438.878935185188</v>
      </c>
      <c r="B1023" s="7" t="str">
        <f>HYPERLINK("https://twitter.com/JoanteleSUR","@JoanteleSUR")</f>
        <v>@JoanteleSUR</v>
      </c>
      <c r="C1023" s="8" t="s">
        <v>3572</v>
      </c>
      <c r="D1023" s="9" t="s">
        <v>3573</v>
      </c>
      <c r="E1023" s="10" t="str">
        <f>HYPERLINK("https://twitter.com/JoanteleSUR/status/1070046500636516352","1070046500636516352")</f>
        <v>1070046500636516352</v>
      </c>
      <c r="F1023" s="12"/>
      <c r="G1023" s="12"/>
      <c r="H1023" s="12"/>
      <c r="I1023" s="13">
        <v>10</v>
      </c>
      <c r="J1023" s="13">
        <v>12</v>
      </c>
      <c r="K1023" s="14" t="str">
        <f>HYPERLINK("http://twitter.com","Twitter Web Client")</f>
        <v>Twitter Web Client</v>
      </c>
      <c r="L1023" s="13">
        <v>3581</v>
      </c>
      <c r="M1023" s="13">
        <v>542</v>
      </c>
      <c r="N1023" s="13">
        <v>37</v>
      </c>
      <c r="O1023" s="15"/>
      <c r="P1023" s="6">
        <v>41877.730324074073</v>
      </c>
      <c r="Q1023" s="16" t="s">
        <v>1455</v>
      </c>
      <c r="R1023" s="17" t="s">
        <v>3574</v>
      </c>
      <c r="S1023" s="12"/>
      <c r="T1023" s="12"/>
      <c r="U1023" s="10" t="str">
        <f>HYPERLINK("https://pbs.twimg.com/profile_images/644274346136109056/4gdGIGaP.png","View")</f>
        <v>View</v>
      </c>
    </row>
    <row r="1024" spans="1:21" ht="20.399999999999999">
      <c r="A1024" s="6">
        <v>43438.877581018518</v>
      </c>
      <c r="B1024" s="7" t="str">
        <f>HYPERLINK("https://twitter.com/copiajuridica","@copiajuridica")</f>
        <v>@copiajuridica</v>
      </c>
      <c r="C1024" s="8" t="s">
        <v>3000</v>
      </c>
      <c r="D1024" s="9" t="s">
        <v>3575</v>
      </c>
      <c r="E1024" s="10" t="str">
        <f>HYPERLINK("https://twitter.com/copiajuridica/status/1070046009726771201","1070046009726771201")</f>
        <v>1070046009726771201</v>
      </c>
      <c r="F1024" s="11" t="s">
        <v>3576</v>
      </c>
      <c r="G1024" s="12"/>
      <c r="H1024" s="12"/>
      <c r="I1024" s="13">
        <v>0</v>
      </c>
      <c r="J1024" s="13">
        <v>0</v>
      </c>
      <c r="K1024" s="14" t="str">
        <f>HYPERLINK("http://www.facebook.com/twitter","Facebook")</f>
        <v>Facebook</v>
      </c>
      <c r="L1024" s="13">
        <v>74</v>
      </c>
      <c r="M1024" s="13">
        <v>272</v>
      </c>
      <c r="N1024" s="13">
        <v>1</v>
      </c>
      <c r="O1024" s="15"/>
      <c r="P1024" s="6">
        <v>42088.346412037034</v>
      </c>
      <c r="Q1024" s="12"/>
      <c r="R1024" s="20"/>
      <c r="S1024" s="11" t="s">
        <v>3003</v>
      </c>
      <c r="T1024" s="12"/>
      <c r="U1024" s="10" t="str">
        <f>HYPERLINK("https://pbs.twimg.com/profile_images/712509718355423234/-G-stV8w.jpg","View")</f>
        <v>View</v>
      </c>
    </row>
    <row r="1025" spans="1:21" ht="40.799999999999997">
      <c r="A1025" s="6">
        <v>43438.873692129629</v>
      </c>
      <c r="B1025" s="7" t="str">
        <f>HYPERLINK("https://twitter.com/RaquelAbeledo","@RaquelAbeledo")</f>
        <v>@RaquelAbeledo</v>
      </c>
      <c r="C1025" s="8" t="s">
        <v>3140</v>
      </c>
      <c r="D1025" s="9" t="s">
        <v>3577</v>
      </c>
      <c r="E1025" s="10" t="str">
        <f>HYPERLINK("https://twitter.com/RaquelAbeledo/status/1070044598544883713","1070044598544883713")</f>
        <v>1070044598544883713</v>
      </c>
      <c r="F1025" s="11" t="s">
        <v>3579</v>
      </c>
      <c r="G1025" s="12"/>
      <c r="H1025" s="12"/>
      <c r="I1025" s="13">
        <v>0</v>
      </c>
      <c r="J1025" s="13">
        <v>0</v>
      </c>
      <c r="K1025" s="14" t="str">
        <f>HYPERLINK("http://twitter.com/download/iphone","Twitter for iPhone")</f>
        <v>Twitter for iPhone</v>
      </c>
      <c r="L1025" s="13">
        <v>590</v>
      </c>
      <c r="M1025" s="13">
        <v>1399</v>
      </c>
      <c r="N1025" s="13">
        <v>19</v>
      </c>
      <c r="O1025" s="15"/>
      <c r="P1025" s="6">
        <v>40362.982453703706</v>
      </c>
      <c r="Q1025" s="16" t="s">
        <v>3142</v>
      </c>
      <c r="R1025" s="17" t="s">
        <v>3143</v>
      </c>
      <c r="S1025" s="11" t="s">
        <v>3144</v>
      </c>
      <c r="T1025" s="12"/>
      <c r="U1025" s="10" t="str">
        <f>HYPERLINK("https://pbs.twimg.com/profile_images/769866480053780480/5jqH8ZMh.jpg","View")</f>
        <v>View</v>
      </c>
    </row>
    <row r="1026" spans="1:21" ht="51">
      <c r="A1026" s="6">
        <v>43438.872777777782</v>
      </c>
      <c r="B1026" s="7" t="str">
        <f>HYPERLINK("https://twitter.com/bustixaniego","@bustixaniego")</f>
        <v>@bustixaniego</v>
      </c>
      <c r="C1026" s="8" t="s">
        <v>3580</v>
      </c>
      <c r="D1026" s="9" t="s">
        <v>3581</v>
      </c>
      <c r="E1026" s="10" t="str">
        <f>HYPERLINK("https://twitter.com/bustixaniego/status/1070044267870085122","1070044267870085122")</f>
        <v>1070044267870085122</v>
      </c>
      <c r="F1026" s="12"/>
      <c r="G1026" s="12"/>
      <c r="H1026" s="12"/>
      <c r="I1026" s="13">
        <v>0</v>
      </c>
      <c r="J1026" s="13">
        <v>0</v>
      </c>
      <c r="K1026" s="14" t="str">
        <f t="shared" ref="K1026:K1027" si="176">HYPERLINK("http://twitter.com/download/android","Twitter for Android")</f>
        <v>Twitter for Android</v>
      </c>
      <c r="L1026" s="13">
        <v>123</v>
      </c>
      <c r="M1026" s="13">
        <v>546</v>
      </c>
      <c r="N1026" s="13">
        <v>4</v>
      </c>
      <c r="O1026" s="15"/>
      <c r="P1026" s="6">
        <v>41755.422962962963</v>
      </c>
      <c r="Q1026" s="16" t="s">
        <v>3582</v>
      </c>
      <c r="R1026" s="17" t="s">
        <v>3583</v>
      </c>
      <c r="S1026" s="12"/>
      <c r="T1026" s="12"/>
      <c r="U1026" s="10" t="str">
        <f>HYPERLINK("https://pbs.twimg.com/profile_images/473393907502706688/2gR4P7Fx.jpeg","View")</f>
        <v>View</v>
      </c>
    </row>
    <row r="1027" spans="1:21" ht="40.799999999999997">
      <c r="A1027" s="6">
        <v>43438.872685185182</v>
      </c>
      <c r="B1027" s="7" t="str">
        <f>HYPERLINK("https://twitter.com/GquirogaGonzalo","@GquirogaGonzalo")</f>
        <v>@GquirogaGonzalo</v>
      </c>
      <c r="C1027" s="8" t="s">
        <v>3162</v>
      </c>
      <c r="D1027" s="9" t="s">
        <v>3584</v>
      </c>
      <c r="E1027" s="10" t="str">
        <f>HYPERLINK("https://twitter.com/GquirogaGonzalo/status/1070044233355182080","1070044233355182080")</f>
        <v>1070044233355182080</v>
      </c>
      <c r="F1027" s="12"/>
      <c r="G1027" s="12"/>
      <c r="H1027" s="12"/>
      <c r="I1027" s="13">
        <v>1</v>
      </c>
      <c r="J1027" s="13">
        <v>2</v>
      </c>
      <c r="K1027" s="14" t="str">
        <f t="shared" si="176"/>
        <v>Twitter for Android</v>
      </c>
      <c r="L1027" s="13">
        <v>2865</v>
      </c>
      <c r="M1027" s="13">
        <v>5001</v>
      </c>
      <c r="N1027" s="13">
        <v>31</v>
      </c>
      <c r="O1027" s="15"/>
      <c r="P1027" s="6">
        <v>41614.554907407408</v>
      </c>
      <c r="Q1027" s="12"/>
      <c r="R1027" s="17" t="s">
        <v>3585</v>
      </c>
      <c r="S1027" s="12"/>
      <c r="T1027" s="12"/>
      <c r="U1027" s="10" t="str">
        <f>HYPERLINK("https://pbs.twimg.com/profile_images/928029513669332992/h42Zg1ls.jpg","View")</f>
        <v>View</v>
      </c>
    </row>
    <row r="1028" spans="1:21" ht="20.399999999999999">
      <c r="A1028" s="6">
        <v>43438.872523148151</v>
      </c>
      <c r="B1028" s="7" t="str">
        <f>HYPERLINK("https://twitter.com/Ha_do_que","@Ha_do_que")</f>
        <v>@Ha_do_que</v>
      </c>
      <c r="C1028" s="8" t="s">
        <v>3586</v>
      </c>
      <c r="D1028" s="9" t="s">
        <v>3587</v>
      </c>
      <c r="E1028" s="10" t="str">
        <f>HYPERLINK("https://twitter.com/Ha_do_que/status/1070044174521643008","1070044174521643008")</f>
        <v>1070044174521643008</v>
      </c>
      <c r="F1028" s="12"/>
      <c r="G1028" s="12"/>
      <c r="H1028" s="12"/>
      <c r="I1028" s="13">
        <v>1</v>
      </c>
      <c r="J1028" s="13">
        <v>1</v>
      </c>
      <c r="K1028" s="14" t="str">
        <f>HYPERLINK("https://mobile.twitter.com","Twitter Lite")</f>
        <v>Twitter Lite</v>
      </c>
      <c r="L1028" s="13">
        <v>224</v>
      </c>
      <c r="M1028" s="13">
        <v>359</v>
      </c>
      <c r="N1028" s="13">
        <v>8</v>
      </c>
      <c r="O1028" s="15"/>
      <c r="P1028" s="6">
        <v>42242.733680555553</v>
      </c>
      <c r="Q1028" s="12"/>
      <c r="R1028" s="17" t="s">
        <v>3588</v>
      </c>
      <c r="S1028" s="12"/>
      <c r="T1028" s="12"/>
      <c r="U1028" s="10" t="str">
        <f>HYPERLINK("https://pbs.twimg.com/profile_images/875375821824950272/1sJY4kyP.jpg","View")</f>
        <v>View</v>
      </c>
    </row>
    <row r="1029" spans="1:21" ht="51">
      <c r="A1029" s="6">
        <v>43438.867071759261</v>
      </c>
      <c r="B1029" s="7" t="str">
        <f>HYPERLINK("https://twitter.com/pita1917malaga","@pita1917malaga")</f>
        <v>@pita1917malaga</v>
      </c>
      <c r="C1029" s="8" t="s">
        <v>3589</v>
      </c>
      <c r="D1029" s="9" t="s">
        <v>3590</v>
      </c>
      <c r="E1029" s="10" t="str">
        <f>HYPERLINK("https://twitter.com/pita1917malaga/status/1070042198387888129","1070042198387888129")</f>
        <v>1070042198387888129</v>
      </c>
      <c r="F1029" s="12"/>
      <c r="G1029" s="12"/>
      <c r="H1029" s="12"/>
      <c r="I1029" s="13">
        <v>2</v>
      </c>
      <c r="J1029" s="13">
        <v>3</v>
      </c>
      <c r="K1029" s="14" t="str">
        <f>HYPERLINK("http://twitter.com/download/android","Twitter for Android")</f>
        <v>Twitter for Android</v>
      </c>
      <c r="L1029" s="13">
        <v>6551</v>
      </c>
      <c r="M1029" s="13">
        <v>3515</v>
      </c>
      <c r="N1029" s="13">
        <v>83</v>
      </c>
      <c r="O1029" s="15"/>
      <c r="P1029" s="6">
        <v>40985.997731481482</v>
      </c>
      <c r="Q1029" s="16" t="s">
        <v>2494</v>
      </c>
      <c r="R1029" s="17" t="s">
        <v>3591</v>
      </c>
      <c r="S1029" s="12"/>
      <c r="T1029" s="12"/>
      <c r="U1029" s="10" t="str">
        <f>HYPERLINK("https://pbs.twimg.com/profile_images/938210775197540353/b-KACUxy.jpg","View")</f>
        <v>View</v>
      </c>
    </row>
    <row r="1030" spans="1:21" ht="51">
      <c r="A1030" s="6">
        <v>43438.864756944444</v>
      </c>
      <c r="B1030" s="7" t="str">
        <f>HYPERLINK("https://twitter.com/Socarrat___","@Socarrat___")</f>
        <v>@Socarrat___</v>
      </c>
      <c r="C1030" s="8" t="s">
        <v>3592</v>
      </c>
      <c r="D1030" s="9" t="s">
        <v>3593</v>
      </c>
      <c r="E1030" s="10" t="str">
        <f>HYPERLINK("https://twitter.com/Socarrat___/status/1070041362395992065","1070041362395992065")</f>
        <v>1070041362395992065</v>
      </c>
      <c r="F1030" s="12"/>
      <c r="G1030" s="11" t="s">
        <v>3594</v>
      </c>
      <c r="H1030" s="12"/>
      <c r="I1030" s="13">
        <v>0</v>
      </c>
      <c r="J1030" s="13">
        <v>1</v>
      </c>
      <c r="K1030" s="14" t="str">
        <f>HYPERLINK("http://twitter.com","Twitter Web Client")</f>
        <v>Twitter Web Client</v>
      </c>
      <c r="L1030" s="13">
        <v>1165</v>
      </c>
      <c r="M1030" s="13">
        <v>1095</v>
      </c>
      <c r="N1030" s="13">
        <v>14</v>
      </c>
      <c r="O1030" s="15"/>
      <c r="P1030" s="6">
        <v>41888.786469907405</v>
      </c>
      <c r="Q1030" s="16" t="s">
        <v>145</v>
      </c>
      <c r="R1030" s="17" t="s">
        <v>3595</v>
      </c>
      <c r="S1030" s="12"/>
      <c r="T1030" s="12"/>
      <c r="U1030" s="10" t="str">
        <f>HYPERLINK("https://pbs.twimg.com/profile_images/1063168376875503618/NfQQalGc.jpg","View")</f>
        <v>View</v>
      </c>
    </row>
    <row r="1031" spans="1:21" ht="30.6">
      <c r="A1031" s="6">
        <v>43438.863888888889</v>
      </c>
      <c r="B1031" s="7" t="str">
        <f>HYPERLINK("https://twitter.com/Scherzo_es","@Scherzo_es")</f>
        <v>@Scherzo_es</v>
      </c>
      <c r="C1031" s="8" t="s">
        <v>3596</v>
      </c>
      <c r="D1031" s="9" t="s">
        <v>3597</v>
      </c>
      <c r="E1031" s="10" t="str">
        <f>HYPERLINK("https://twitter.com/Scherzo_es/status/1070041045788909573","1070041045788909573")</f>
        <v>1070041045788909573</v>
      </c>
      <c r="F1031" s="11" t="s">
        <v>3598</v>
      </c>
      <c r="G1031" s="11" t="s">
        <v>3599</v>
      </c>
      <c r="H1031" s="12"/>
      <c r="I1031" s="13">
        <v>5</v>
      </c>
      <c r="J1031" s="13">
        <v>21</v>
      </c>
      <c r="K1031" s="14" t="str">
        <f>HYPERLINK("https://about.twitter.com/products/tweetdeck","TweetDeck")</f>
        <v>TweetDeck</v>
      </c>
      <c r="L1031" s="13">
        <v>11318</v>
      </c>
      <c r="M1031" s="13">
        <v>152</v>
      </c>
      <c r="N1031" s="13">
        <v>236</v>
      </c>
      <c r="O1031" s="15"/>
      <c r="P1031" s="6">
        <v>41183.644548611112</v>
      </c>
      <c r="Q1031" s="16" t="s">
        <v>232</v>
      </c>
      <c r="R1031" s="17" t="s">
        <v>3600</v>
      </c>
      <c r="S1031" s="11" t="s">
        <v>3601</v>
      </c>
      <c r="T1031" s="12"/>
      <c r="U1031" s="10" t="str">
        <f>HYPERLINK("https://pbs.twimg.com/profile_images/968997868848795651/qRC-8G3b.jpg","View")</f>
        <v>View</v>
      </c>
    </row>
    <row r="1032" spans="1:21" ht="51">
      <c r="A1032" s="6">
        <v>43438.86319444445</v>
      </c>
      <c r="B1032" s="7" t="str">
        <f>HYPERLINK("https://twitter.com/Luamar29","@Luamar29")</f>
        <v>@Luamar29</v>
      </c>
      <c r="C1032" s="8" t="s">
        <v>3602</v>
      </c>
      <c r="D1032" s="9" t="s">
        <v>3603</v>
      </c>
      <c r="E1032" s="10" t="str">
        <f>HYPERLINK("https://twitter.com/Luamar29/status/1070040796185927680","1070040796185927680")</f>
        <v>1070040796185927680</v>
      </c>
      <c r="F1032" s="12"/>
      <c r="G1032" s="12"/>
      <c r="H1032" s="12"/>
      <c r="I1032" s="13">
        <v>0</v>
      </c>
      <c r="J1032" s="13">
        <v>0</v>
      </c>
      <c r="K1032" s="14" t="str">
        <f>HYPERLINK("http://twitter.com/#!/download/ipad","Twitter for iPad")</f>
        <v>Twitter for iPad</v>
      </c>
      <c r="L1032" s="13">
        <v>192</v>
      </c>
      <c r="M1032" s="13">
        <v>509</v>
      </c>
      <c r="N1032" s="13">
        <v>3</v>
      </c>
      <c r="O1032" s="15"/>
      <c r="P1032" s="6">
        <v>42625.694907407407</v>
      </c>
      <c r="Q1032" s="12"/>
      <c r="R1032" s="17" t="s">
        <v>3605</v>
      </c>
      <c r="S1032" s="12"/>
      <c r="T1032" s="12"/>
      <c r="U1032" s="10" t="str">
        <f>HYPERLINK("https://pbs.twimg.com/profile_images/787659506562007040/3zPCNAEZ.jpg","View")</f>
        <v>View</v>
      </c>
    </row>
    <row r="1033" spans="1:21" ht="13.2">
      <c r="A1033" s="6">
        <v>43438.86237268518</v>
      </c>
      <c r="B1033" s="7" t="str">
        <f>HYPERLINK("https://twitter.com/MaraCarmenMar13","@MaraCarmenMar13")</f>
        <v>@MaraCarmenMar13</v>
      </c>
      <c r="C1033" s="8" t="s">
        <v>3606</v>
      </c>
      <c r="D1033" s="9" t="s">
        <v>2892</v>
      </c>
      <c r="E1033" s="10" t="str">
        <f>HYPERLINK("https://twitter.com/MaraCarmenMar13/status/1070040495202725889","1070040495202725889")</f>
        <v>1070040495202725889</v>
      </c>
      <c r="F1033" s="12"/>
      <c r="G1033" s="12"/>
      <c r="H1033" s="12"/>
      <c r="I1033" s="13">
        <v>0</v>
      </c>
      <c r="J1033" s="13">
        <v>0</v>
      </c>
      <c r="K1033" s="14" t="str">
        <f>HYPERLINK("http://twitter.com/download/android","Twitter for Android")</f>
        <v>Twitter for Android</v>
      </c>
      <c r="L1033" s="13">
        <v>0</v>
      </c>
      <c r="M1033" s="13">
        <v>0</v>
      </c>
      <c r="N1033" s="13">
        <v>0</v>
      </c>
      <c r="O1033" s="15"/>
      <c r="P1033" s="6">
        <v>43438.8515625</v>
      </c>
      <c r="Q1033" s="12"/>
      <c r="R1033" s="20"/>
      <c r="S1033" s="12"/>
      <c r="T1033" s="12"/>
      <c r="U1033" s="10" t="str">
        <f>HYPERLINK("https://pbs.twimg.com/profile_images/1070038410595844097/-ZlusOXf.jpg","View")</f>
        <v>View</v>
      </c>
    </row>
    <row r="1034" spans="1:21" ht="20.399999999999999">
      <c r="A1034" s="6">
        <v>43438.861990740741</v>
      </c>
      <c r="B1034" s="7" t="str">
        <f>HYPERLINK("https://twitter.com/islamofobia_no","@islamofobia_no")</f>
        <v>@islamofobia_no</v>
      </c>
      <c r="C1034" s="8" t="s">
        <v>3607</v>
      </c>
      <c r="D1034" s="9" t="s">
        <v>3608</v>
      </c>
      <c r="E1034" s="10" t="str">
        <f>HYPERLINK("https://twitter.com/islamofobia_no/status/1070040358090878976","1070040358090878976")</f>
        <v>1070040358090878976</v>
      </c>
      <c r="F1034" s="11" t="s">
        <v>3609</v>
      </c>
      <c r="G1034" s="12"/>
      <c r="H1034" s="12"/>
      <c r="I1034" s="13">
        <v>0</v>
      </c>
      <c r="J1034" s="13">
        <v>0</v>
      </c>
      <c r="K1034" s="14" t="str">
        <f>HYPERLINK("http://www.facebook.com/twitter","Facebook")</f>
        <v>Facebook</v>
      </c>
      <c r="L1034" s="13">
        <v>79</v>
      </c>
      <c r="M1034" s="13">
        <v>16</v>
      </c>
      <c r="N1034" s="13">
        <v>1</v>
      </c>
      <c r="O1034" s="15"/>
      <c r="P1034" s="6">
        <v>42435.504849537036</v>
      </c>
      <c r="Q1034" s="12"/>
      <c r="R1034" s="20"/>
      <c r="S1034" s="12"/>
      <c r="T1034" s="12"/>
      <c r="U1034" s="10" t="str">
        <f>HYPERLINK("https://pbs.twimg.com/profile_images/706439452688838656/6QYUYNqN.jpg","View")</f>
        <v>View</v>
      </c>
    </row>
    <row r="1035" spans="1:21" ht="81.599999999999994">
      <c r="A1035" s="6">
        <v>43438.859722222223</v>
      </c>
      <c r="B1035" s="7" t="str">
        <f>HYPERLINK("https://twitter.com/esperanzaec","@esperanzaec")</f>
        <v>@esperanzaec</v>
      </c>
      <c r="C1035" s="8" t="s">
        <v>3610</v>
      </c>
      <c r="D1035" s="9" t="s">
        <v>3611</v>
      </c>
      <c r="E1035" s="10" t="str">
        <f>HYPERLINK("https://twitter.com/esperanzaec/status/1070039535843725314","1070039535843725314")</f>
        <v>1070039535843725314</v>
      </c>
      <c r="F1035" s="16" t="s">
        <v>3612</v>
      </c>
      <c r="G1035" s="12"/>
      <c r="H1035" s="12"/>
      <c r="I1035" s="13">
        <v>0</v>
      </c>
      <c r="J1035" s="13">
        <v>3</v>
      </c>
      <c r="K1035" s="14" t="str">
        <f>HYPERLINK("https://buffer.com","Buffer")</f>
        <v>Buffer</v>
      </c>
      <c r="L1035" s="13">
        <v>3276</v>
      </c>
      <c r="M1035" s="13">
        <v>2164</v>
      </c>
      <c r="N1035" s="13">
        <v>119</v>
      </c>
      <c r="O1035" s="15"/>
      <c r="P1035" s="6">
        <v>40402.030578703707</v>
      </c>
      <c r="Q1035" s="16" t="s">
        <v>1455</v>
      </c>
      <c r="R1035" s="17" t="s">
        <v>3613</v>
      </c>
      <c r="S1035" s="11" t="s">
        <v>3614</v>
      </c>
      <c r="T1035" s="12"/>
      <c r="U1035" s="10" t="str">
        <f>HYPERLINK("https://pbs.twimg.com/profile_images/1045722459994034177/SiPJ0Cl1.jpg","View")</f>
        <v>View</v>
      </c>
    </row>
    <row r="1036" spans="1:21" ht="51">
      <c r="A1036" s="6">
        <v>43438.858506944445</v>
      </c>
      <c r="B1036" s="7" t="str">
        <f>HYPERLINK("https://twitter.com/fenixssf","@fenixssf")</f>
        <v>@fenixssf</v>
      </c>
      <c r="C1036" s="8" t="s">
        <v>3615</v>
      </c>
      <c r="D1036" s="9" t="s">
        <v>3616</v>
      </c>
      <c r="E1036" s="10" t="str">
        <f>HYPERLINK("https://twitter.com/fenixssf/status/1070039096322650114","1070039096322650114")</f>
        <v>1070039096322650114</v>
      </c>
      <c r="F1036" s="11" t="s">
        <v>2859</v>
      </c>
      <c r="G1036" s="12"/>
      <c r="H1036" s="12"/>
      <c r="I1036" s="13">
        <v>62</v>
      </c>
      <c r="J1036" s="13">
        <v>40</v>
      </c>
      <c r="K1036" s="14" t="str">
        <f t="shared" ref="K1036:K1037" si="177">HYPERLINK("http://twitter.com/download/android","Twitter for Android")</f>
        <v>Twitter for Android</v>
      </c>
      <c r="L1036" s="13">
        <v>1179</v>
      </c>
      <c r="M1036" s="13">
        <v>1110</v>
      </c>
      <c r="N1036" s="13">
        <v>27</v>
      </c>
      <c r="O1036" s="15"/>
      <c r="P1036" s="6">
        <v>42561.760509259257</v>
      </c>
      <c r="Q1036" s="16" t="s">
        <v>3617</v>
      </c>
      <c r="R1036" s="17" t="s">
        <v>3618</v>
      </c>
      <c r="S1036" s="11" t="s">
        <v>3619</v>
      </c>
      <c r="T1036" s="12"/>
      <c r="U1036" s="10" t="str">
        <f>HYPERLINK("https://pbs.twimg.com/profile_images/1070643742355398657/bCalwMN6.jpg","View")</f>
        <v>View</v>
      </c>
    </row>
    <row r="1037" spans="1:21" ht="51">
      <c r="A1037" s="6">
        <v>43438.855682870373</v>
      </c>
      <c r="B1037" s="7" t="str">
        <f>HYPERLINK("https://twitter.com/jurgencris","@jurgencris")</f>
        <v>@jurgencris</v>
      </c>
      <c r="C1037" s="8" t="s">
        <v>3620</v>
      </c>
      <c r="D1037" s="9" t="s">
        <v>3621</v>
      </c>
      <c r="E1037" s="10" t="str">
        <f>HYPERLINK("https://twitter.com/jurgencris/status/1070038070970458113","1070038070970458113")</f>
        <v>1070038070970458113</v>
      </c>
      <c r="F1037" s="12"/>
      <c r="G1037" s="12"/>
      <c r="H1037" s="12"/>
      <c r="I1037" s="13">
        <v>5</v>
      </c>
      <c r="J1037" s="13">
        <v>17</v>
      </c>
      <c r="K1037" s="14" t="str">
        <f t="shared" si="177"/>
        <v>Twitter for Android</v>
      </c>
      <c r="L1037" s="13">
        <v>4209</v>
      </c>
      <c r="M1037" s="13">
        <v>2978</v>
      </c>
      <c r="N1037" s="13">
        <v>12</v>
      </c>
      <c r="O1037" s="15"/>
      <c r="P1037" s="6">
        <v>42899.695543981477</v>
      </c>
      <c r="Q1037" s="16" t="s">
        <v>3623</v>
      </c>
      <c r="R1037" s="17" t="s">
        <v>3624</v>
      </c>
      <c r="S1037" s="12"/>
      <c r="T1037" s="12"/>
      <c r="U1037" s="10" t="str">
        <f>HYPERLINK("https://pbs.twimg.com/profile_images/1040973679289618434/vE79GdN6.jpg","View")</f>
        <v>View</v>
      </c>
    </row>
    <row r="1038" spans="1:21" ht="40.799999999999997">
      <c r="A1038" s="6">
        <v>43438.851712962962</v>
      </c>
      <c r="B1038" s="7" t="str">
        <f>HYPERLINK("https://twitter.com/jespersi1954","@jespersi1954")</f>
        <v>@jespersi1954</v>
      </c>
      <c r="C1038" s="8" t="s">
        <v>3625</v>
      </c>
      <c r="D1038" s="9" t="s">
        <v>3626</v>
      </c>
      <c r="E1038" s="10" t="str">
        <f>HYPERLINK("https://twitter.com/jespersi1954/status/1070036634270347265","1070036634270347265")</f>
        <v>1070036634270347265</v>
      </c>
      <c r="F1038" s="16" t="s">
        <v>3627</v>
      </c>
      <c r="G1038" s="12"/>
      <c r="H1038" s="12"/>
      <c r="I1038" s="13">
        <v>0</v>
      </c>
      <c r="J1038" s="13">
        <v>0</v>
      </c>
      <c r="K1038" s="14" t="str">
        <f>HYPERLINK("http://twitter.com","Twitter Web Client")</f>
        <v>Twitter Web Client</v>
      </c>
      <c r="L1038" s="13">
        <v>26</v>
      </c>
      <c r="M1038" s="13">
        <v>89</v>
      </c>
      <c r="N1038" s="13">
        <v>0</v>
      </c>
      <c r="O1038" s="15"/>
      <c r="P1038" s="6">
        <v>41627.583090277782</v>
      </c>
      <c r="Q1038" s="16" t="s">
        <v>3628</v>
      </c>
      <c r="R1038" s="17" t="s">
        <v>3629</v>
      </c>
      <c r="S1038" s="12"/>
      <c r="T1038" s="12"/>
      <c r="U1038" s="10" t="str">
        <f>HYPERLINK("https://pbs.twimg.com/profile_images/697561871784792064/Wwj5i-To.jpg","View")</f>
        <v>View</v>
      </c>
    </row>
    <row r="1039" spans="1:21" ht="40.799999999999997">
      <c r="A1039" s="6">
        <v>43438.850462962961</v>
      </c>
      <c r="B1039" s="7" t="str">
        <f>HYPERLINK("https://twitter.com/JoanTena60","@JoanTena60")</f>
        <v>@JoanTena60</v>
      </c>
      <c r="C1039" s="8" t="s">
        <v>3630</v>
      </c>
      <c r="D1039" s="9" t="s">
        <v>3631</v>
      </c>
      <c r="E1039" s="10" t="str">
        <f>HYPERLINK("https://twitter.com/JoanTena60/status/1070036182392803328","1070036182392803328")</f>
        <v>1070036182392803328</v>
      </c>
      <c r="F1039" s="11" t="s">
        <v>3428</v>
      </c>
      <c r="G1039" s="12"/>
      <c r="H1039" s="12"/>
      <c r="I1039" s="13">
        <v>0</v>
      </c>
      <c r="J1039" s="13">
        <v>0</v>
      </c>
      <c r="K1039" s="14" t="str">
        <f>HYPERLINK("http://twitter.com/download/android","Twitter for Android")</f>
        <v>Twitter for Android</v>
      </c>
      <c r="L1039" s="13">
        <v>4067</v>
      </c>
      <c r="M1039" s="13">
        <v>3967</v>
      </c>
      <c r="N1039" s="13">
        <v>24</v>
      </c>
      <c r="O1039" s="15"/>
      <c r="P1039" s="6">
        <v>42148.683761574073</v>
      </c>
      <c r="Q1039" s="16" t="s">
        <v>3632</v>
      </c>
      <c r="R1039" s="17" t="s">
        <v>3633</v>
      </c>
      <c r="S1039" s="12"/>
      <c r="T1039" s="12"/>
      <c r="U1039" s="10" t="str">
        <f>HYPERLINK("https://pbs.twimg.com/profile_images/1032717682389540865/fkodrAdy.jpg","View")</f>
        <v>View</v>
      </c>
    </row>
    <row r="1040" spans="1:21" ht="30.6">
      <c r="A1040" s="6">
        <v>43438.847708333335</v>
      </c>
      <c r="B1040" s="7" t="str">
        <f>HYPERLINK("https://twitter.com/periodicovzlano","@periodicovzlano")</f>
        <v>@periodicovzlano</v>
      </c>
      <c r="C1040" s="8" t="s">
        <v>2671</v>
      </c>
      <c r="D1040" s="9" t="s">
        <v>2672</v>
      </c>
      <c r="E1040" s="10" t="str">
        <f>HYPERLINK("https://twitter.com/periodicovzlano/status/1070035181040488449","1070035181040488449")</f>
        <v>1070035181040488449</v>
      </c>
      <c r="F1040" s="11" t="s">
        <v>2673</v>
      </c>
      <c r="G1040" s="11" t="s">
        <v>3634</v>
      </c>
      <c r="H1040" s="12"/>
      <c r="I1040" s="13">
        <v>0</v>
      </c>
      <c r="J1040" s="13">
        <v>0</v>
      </c>
      <c r="K1040" s="14" t="str">
        <f>HYPERLINK("http://epmundo.com","Tuiteo TOP EP (1)")</f>
        <v>Tuiteo TOP EP (1)</v>
      </c>
      <c r="L1040" s="13">
        <v>479694</v>
      </c>
      <c r="M1040" s="13">
        <v>358804</v>
      </c>
      <c r="N1040" s="13">
        <v>1295</v>
      </c>
      <c r="O1040" s="15"/>
      <c r="P1040" s="6">
        <v>40663.3512962963</v>
      </c>
      <c r="Q1040" s="16" t="s">
        <v>861</v>
      </c>
      <c r="R1040" s="17" t="s">
        <v>2675</v>
      </c>
      <c r="S1040" s="11" t="s">
        <v>2676</v>
      </c>
      <c r="T1040" s="12"/>
      <c r="U1040" s="10" t="str">
        <f>HYPERLINK("https://pbs.twimg.com/profile_images/958328579250638849/MCz7Q8U6.jpg","View")</f>
        <v>View</v>
      </c>
    </row>
    <row r="1041" spans="1:21" ht="30.6">
      <c r="A1041" s="6">
        <v>43438.847002314811</v>
      </c>
      <c r="B1041" s="7" t="str">
        <f>HYPERLINK("https://twitter.com/qveremos","@qveremos")</f>
        <v>@qveremos</v>
      </c>
      <c r="C1041" s="8" t="s">
        <v>3635</v>
      </c>
      <c r="D1041" s="9" t="s">
        <v>3636</v>
      </c>
      <c r="E1041" s="10" t="str">
        <f>HYPERLINK("https://twitter.com/qveremos/status/1070034925779382278","1070034925779382278")</f>
        <v>1070034925779382278</v>
      </c>
      <c r="F1041" s="11" t="s">
        <v>3518</v>
      </c>
      <c r="G1041" s="12"/>
      <c r="H1041" s="12"/>
      <c r="I1041" s="13">
        <v>0</v>
      </c>
      <c r="J1041" s="13">
        <v>0</v>
      </c>
      <c r="K1041" s="14" t="str">
        <f>HYPERLINK("http://twitter.com/download/iphone","Twitter for iPhone")</f>
        <v>Twitter for iPhone</v>
      </c>
      <c r="L1041" s="13">
        <v>1128</v>
      </c>
      <c r="M1041" s="13">
        <v>775</v>
      </c>
      <c r="N1041" s="13">
        <v>24</v>
      </c>
      <c r="O1041" s="15"/>
      <c r="P1041" s="6">
        <v>42032.860532407409</v>
      </c>
      <c r="Q1041" s="12"/>
      <c r="R1041" s="17" t="s">
        <v>3637</v>
      </c>
      <c r="S1041" s="11" t="s">
        <v>3638</v>
      </c>
      <c r="T1041" s="12"/>
      <c r="U1041" s="10" t="str">
        <f>HYPERLINK("https://pbs.twimg.com/profile_images/722833927719776256/v_-KrKEE.jpg","View")</f>
        <v>View</v>
      </c>
    </row>
    <row r="1042" spans="1:21" ht="30.6">
      <c r="A1042" s="6">
        <v>43438.844675925924</v>
      </c>
      <c r="B1042" s="7" t="str">
        <f>HYPERLINK("https://twitter.com/ToniPeraba","@ToniPeraba")</f>
        <v>@ToniPeraba</v>
      </c>
      <c r="C1042" s="8" t="s">
        <v>3639</v>
      </c>
      <c r="D1042" s="9" t="s">
        <v>3640</v>
      </c>
      <c r="E1042" s="10" t="str">
        <f>HYPERLINK("https://twitter.com/ToniPeraba/status/1070034085010124800","1070034085010124800")</f>
        <v>1070034085010124800</v>
      </c>
      <c r="F1042" s="12"/>
      <c r="G1042" s="12"/>
      <c r="H1042" s="12"/>
      <c r="I1042" s="13">
        <v>0</v>
      </c>
      <c r="J1042" s="13">
        <v>2</v>
      </c>
      <c r="K1042" s="14" t="str">
        <f>HYPERLINK("http://twitter.com/download/android","Twitter for Android")</f>
        <v>Twitter for Android</v>
      </c>
      <c r="L1042" s="13">
        <v>2726</v>
      </c>
      <c r="M1042" s="13">
        <v>2861</v>
      </c>
      <c r="N1042" s="13">
        <v>72</v>
      </c>
      <c r="O1042" s="15"/>
      <c r="P1042" s="6">
        <v>40415.694502314815</v>
      </c>
      <c r="Q1042" s="16" t="s">
        <v>3641</v>
      </c>
      <c r="R1042" s="17" t="s">
        <v>3642</v>
      </c>
      <c r="S1042" s="12"/>
      <c r="T1042" s="12"/>
      <c r="U1042" s="10" t="str">
        <f>HYPERLINK("https://pbs.twimg.com/profile_images/987377095167873025/vhqqq2j5.jpg","View")</f>
        <v>View</v>
      </c>
    </row>
    <row r="1043" spans="1:21" ht="20.399999999999999">
      <c r="A1043" s="6">
        <v>43438.842777777776</v>
      </c>
      <c r="B1043" s="7" t="str">
        <f>HYPERLINK("https://twitter.com/NoticiasVenezue","@NoticiasVenezue")</f>
        <v>@NoticiasVenezue</v>
      </c>
      <c r="C1043" s="8" t="s">
        <v>3644</v>
      </c>
      <c r="D1043" s="9" t="s">
        <v>2672</v>
      </c>
      <c r="E1043" s="10" t="str">
        <f>HYPERLINK("https://twitter.com/NoticiasVenezue/status/1070033396259262466","1070033396259262466")</f>
        <v>1070033396259262466</v>
      </c>
      <c r="F1043" s="11" t="s">
        <v>3647</v>
      </c>
      <c r="G1043" s="12"/>
      <c r="H1043" s="12"/>
      <c r="I1043" s="13">
        <v>1</v>
      </c>
      <c r="J1043" s="13">
        <v>1</v>
      </c>
      <c r="K1043" s="14" t="str">
        <f>HYPERLINK("http://noticiasvenezuela.org/","Noticiasvenezuela.org")</f>
        <v>Noticiasvenezuela.org</v>
      </c>
      <c r="L1043" s="13">
        <v>849967</v>
      </c>
      <c r="M1043" s="13">
        <v>107845</v>
      </c>
      <c r="N1043" s="13">
        <v>4005</v>
      </c>
      <c r="O1043" s="19" t="s">
        <v>44</v>
      </c>
      <c r="P1043" s="6">
        <v>39960.368576388893</v>
      </c>
      <c r="Q1043" s="16" t="s">
        <v>3648</v>
      </c>
      <c r="R1043" s="17" t="s">
        <v>3649</v>
      </c>
      <c r="S1043" s="11" t="s">
        <v>3650</v>
      </c>
      <c r="T1043" s="12"/>
      <c r="U1043" s="10" t="str">
        <f>HYPERLINK("https://pbs.twimg.com/profile_images/1051102549061849088/xDOWgbtI.jpg","View")</f>
        <v>View</v>
      </c>
    </row>
    <row r="1044" spans="1:21" ht="40.799999999999997">
      <c r="A1044" s="6">
        <v>43438.842523148152</v>
      </c>
      <c r="B1044" s="7" t="str">
        <f>HYPERLINK("https://twitter.com/Amartinbeaumont","@Amartinbeaumont")</f>
        <v>@Amartinbeaumont</v>
      </c>
      <c r="C1044" s="8" t="s">
        <v>3651</v>
      </c>
      <c r="D1044" s="9" t="s">
        <v>3652</v>
      </c>
      <c r="E1044" s="10" t="str">
        <f>HYPERLINK("https://twitter.com/Amartinbeaumont/status/1070033303296708608","1070033303296708608")</f>
        <v>1070033303296708608</v>
      </c>
      <c r="F1044" s="11" t="s">
        <v>3285</v>
      </c>
      <c r="G1044" s="12"/>
      <c r="H1044" s="12"/>
      <c r="I1044" s="13">
        <v>1</v>
      </c>
      <c r="J1044" s="13">
        <v>2</v>
      </c>
      <c r="K1044" s="14" t="str">
        <f>HYPERLINK("http://twitter.com/download/iphone","Twitter for iPhone")</f>
        <v>Twitter for iPhone</v>
      </c>
      <c r="L1044" s="13">
        <v>8197</v>
      </c>
      <c r="M1044" s="13">
        <v>599</v>
      </c>
      <c r="N1044" s="13">
        <v>222</v>
      </c>
      <c r="O1044" s="15"/>
      <c r="P1044" s="6">
        <v>40624.833368055552</v>
      </c>
      <c r="Q1044" s="16" t="s">
        <v>3653</v>
      </c>
      <c r="R1044" s="17" t="s">
        <v>3654</v>
      </c>
      <c r="S1044" s="11" t="s">
        <v>3655</v>
      </c>
      <c r="T1044" s="12"/>
      <c r="U1044" s="10" t="str">
        <f>HYPERLINK("https://pbs.twimg.com/profile_images/502373788466810880/qhkhfrCn.jpeg","View")</f>
        <v>View</v>
      </c>
    </row>
    <row r="1045" spans="1:21" ht="30.6">
      <c r="A1045" s="6">
        <v>43438.842453703706</v>
      </c>
      <c r="B1045" s="7" t="str">
        <f>HYPERLINK("https://twitter.com/Charran_Esp","@Charran_Esp")</f>
        <v>@Charran_Esp</v>
      </c>
      <c r="C1045" s="8" t="s">
        <v>3656</v>
      </c>
      <c r="D1045" s="9" t="s">
        <v>2978</v>
      </c>
      <c r="E1045" s="10" t="str">
        <f>HYPERLINK("https://twitter.com/Charran_Esp/status/1070033280416788480","1070033280416788480")</f>
        <v>1070033280416788480</v>
      </c>
      <c r="F1045" s="11" t="s">
        <v>3657</v>
      </c>
      <c r="G1045" s="11" t="s">
        <v>3658</v>
      </c>
      <c r="H1045" s="12"/>
      <c r="I1045" s="13">
        <v>0</v>
      </c>
      <c r="J1045" s="13">
        <v>0</v>
      </c>
      <c r="K1045" s="14" t="str">
        <f>HYPERLINK("https://ifttt.com","IFTTT")</f>
        <v>IFTTT</v>
      </c>
      <c r="L1045" s="13">
        <v>62</v>
      </c>
      <c r="M1045" s="13">
        <v>71</v>
      </c>
      <c r="N1045" s="13">
        <v>0</v>
      </c>
      <c r="O1045" s="15"/>
      <c r="P1045" s="6">
        <v>42915.451712962968</v>
      </c>
      <c r="Q1045" s="16" t="s">
        <v>48</v>
      </c>
      <c r="R1045" s="17" t="s">
        <v>3659</v>
      </c>
      <c r="S1045" s="12"/>
      <c r="T1045" s="12"/>
      <c r="U1045" s="10" t="str">
        <f>HYPERLINK("https://pbs.twimg.com/profile_images/880349188244078592/vsdcBU4x.jpg","View")</f>
        <v>View</v>
      </c>
    </row>
    <row r="1046" spans="1:21" ht="20.399999999999999">
      <c r="A1046" s="6">
        <v>43438.841307870374</v>
      </c>
      <c r="B1046" s="7" t="str">
        <f>HYPERLINK("https://twitter.com/emiliorduna","@emiliorduna")</f>
        <v>@emiliorduna</v>
      </c>
      <c r="C1046" s="8" t="s">
        <v>2396</v>
      </c>
      <c r="D1046" s="9" t="s">
        <v>3660</v>
      </c>
      <c r="E1046" s="10" t="str">
        <f>HYPERLINK("https://twitter.com/emiliorduna/status/1070032861980442629","1070032861980442629")</f>
        <v>1070032861980442629</v>
      </c>
      <c r="F1046" s="12"/>
      <c r="G1046" s="12"/>
      <c r="H1046" s="12"/>
      <c r="I1046" s="13">
        <v>0</v>
      </c>
      <c r="J1046" s="13">
        <v>0</v>
      </c>
      <c r="K1046" s="14" t="str">
        <f>HYPERLINK("http://twitter.com/download/iphone","Twitter for iPhone")</f>
        <v>Twitter for iPhone</v>
      </c>
      <c r="L1046" s="13">
        <v>51</v>
      </c>
      <c r="M1046" s="13">
        <v>404</v>
      </c>
      <c r="N1046" s="13">
        <v>0</v>
      </c>
      <c r="O1046" s="15"/>
      <c r="P1046" s="6">
        <v>41204.972511574073</v>
      </c>
      <c r="Q1046" s="16" t="s">
        <v>191</v>
      </c>
      <c r="R1046" s="17" t="s">
        <v>2398</v>
      </c>
      <c r="S1046" s="12"/>
      <c r="T1046" s="12"/>
      <c r="U1046" s="10" t="str">
        <f>HYPERLINK("https://pbs.twimg.com/profile_images/2752017206/4161a2f455d777ff8bc6a50af991113c.png","View")</f>
        <v>View</v>
      </c>
    </row>
    <row r="1047" spans="1:21" ht="20.399999999999999">
      <c r="A1047" s="6">
        <v>43438.841064814813</v>
      </c>
      <c r="B1047" s="7" t="str">
        <f>HYPERLINK("https://twitter.com/PedroCruzado8","@PedroCruzado8")</f>
        <v>@PedroCruzado8</v>
      </c>
      <c r="C1047" s="8" t="s">
        <v>3661</v>
      </c>
      <c r="D1047" s="9" t="s">
        <v>2978</v>
      </c>
      <c r="E1047" s="10" t="str">
        <f>HYPERLINK("https://twitter.com/PedroCruzado8/status/1070032774353031169","1070032774353031169")</f>
        <v>1070032774353031169</v>
      </c>
      <c r="F1047" s="11" t="s">
        <v>3657</v>
      </c>
      <c r="G1047" s="11" t="s">
        <v>3658</v>
      </c>
      <c r="H1047" s="12"/>
      <c r="I1047" s="13">
        <v>0</v>
      </c>
      <c r="J1047" s="13">
        <v>0</v>
      </c>
      <c r="K1047" s="14" t="str">
        <f>HYPERLINK("https://ifttt.com","IFTTT")</f>
        <v>IFTTT</v>
      </c>
      <c r="L1047" s="13">
        <v>28</v>
      </c>
      <c r="M1047" s="13">
        <v>99</v>
      </c>
      <c r="N1047" s="13">
        <v>4</v>
      </c>
      <c r="O1047" s="15"/>
      <c r="P1047" s="6">
        <v>42736.553831018522</v>
      </c>
      <c r="Q1047" s="16" t="s">
        <v>611</v>
      </c>
      <c r="R1047" s="17" t="s">
        <v>3662</v>
      </c>
      <c r="S1047" s="12"/>
      <c r="T1047" s="12"/>
      <c r="U1047" s="10" t="str">
        <f>HYPERLINK("https://pbs.twimg.com/profile_images/818865247373164544/HWpTWhKP.jpg","View")</f>
        <v>View</v>
      </c>
    </row>
    <row r="1048" spans="1:21" ht="40.799999999999997">
      <c r="A1048" s="6">
        <v>43438.840787037036</v>
      </c>
      <c r="B1048" s="7" t="str">
        <f>HYPERLINK("https://twitter.com/ESdiario_com","@ESdiario_com")</f>
        <v>@ESdiario_com</v>
      </c>
      <c r="C1048" s="8" t="s">
        <v>3336</v>
      </c>
      <c r="D1048" s="9" t="s">
        <v>2978</v>
      </c>
      <c r="E1048" s="10" t="str">
        <f>HYPERLINK("https://twitter.com/ESdiario_com/status/1070032674910294016","1070032674910294016")</f>
        <v>1070032674910294016</v>
      </c>
      <c r="F1048" s="11" t="s">
        <v>3657</v>
      </c>
      <c r="G1048" s="11" t="s">
        <v>3658</v>
      </c>
      <c r="H1048" s="12"/>
      <c r="I1048" s="13">
        <v>1</v>
      </c>
      <c r="J1048" s="13">
        <v>5</v>
      </c>
      <c r="K1048" s="14" t="str">
        <f t="shared" ref="K1048:K1049" si="178">HYPERLINK("https://mobile.twitter.com","Twitter Lite")</f>
        <v>Twitter Lite</v>
      </c>
      <c r="L1048" s="13">
        <v>30936</v>
      </c>
      <c r="M1048" s="13">
        <v>707</v>
      </c>
      <c r="N1048" s="13">
        <v>497</v>
      </c>
      <c r="O1048" s="15"/>
      <c r="P1048" s="6">
        <v>40584.500949074078</v>
      </c>
      <c r="Q1048" s="16" t="s">
        <v>232</v>
      </c>
      <c r="R1048" s="17" t="s">
        <v>3338</v>
      </c>
      <c r="S1048" s="11" t="s">
        <v>3339</v>
      </c>
      <c r="T1048" s="12"/>
      <c r="U1048" s="10" t="str">
        <f>HYPERLINK("https://pbs.twimg.com/profile_images/708363281308753920/7qh3akOb.jpg","View")</f>
        <v>View</v>
      </c>
    </row>
    <row r="1049" spans="1:21" ht="40.799999999999997">
      <c r="A1049" s="6">
        <v>43438.837094907409</v>
      </c>
      <c r="B1049" s="7" t="str">
        <f>HYPERLINK("https://twitter.com/EstTartessica","@EstTartessica")</f>
        <v>@EstTartessica</v>
      </c>
      <c r="C1049" s="18" t="s">
        <v>1128</v>
      </c>
      <c r="D1049" s="9" t="s">
        <v>3663</v>
      </c>
      <c r="E1049" s="10" t="str">
        <f>HYPERLINK("https://twitter.com/EstTartessica/status/1070031335669030912","1070031335669030912")</f>
        <v>1070031335669030912</v>
      </c>
      <c r="F1049" s="16" t="s">
        <v>3664</v>
      </c>
      <c r="G1049" s="11" t="s">
        <v>3665</v>
      </c>
      <c r="H1049" s="12"/>
      <c r="I1049" s="13">
        <v>3</v>
      </c>
      <c r="J1049" s="13">
        <v>2</v>
      </c>
      <c r="K1049" s="14" t="str">
        <f t="shared" si="178"/>
        <v>Twitter Lite</v>
      </c>
      <c r="L1049" s="13">
        <v>297</v>
      </c>
      <c r="M1049" s="13">
        <v>906</v>
      </c>
      <c r="N1049" s="13">
        <v>1</v>
      </c>
      <c r="O1049" s="15"/>
      <c r="P1049" s="6">
        <v>43267.836319444439</v>
      </c>
      <c r="Q1049" s="12"/>
      <c r="R1049" s="17" t="s">
        <v>1133</v>
      </c>
      <c r="S1049" s="12"/>
      <c r="T1049" s="12"/>
      <c r="U1049" s="10" t="str">
        <f>HYPERLINK("https://pbs.twimg.com/profile_images/1069354805750042624/3HNj9_X0.jpg","View")</f>
        <v>View</v>
      </c>
    </row>
    <row r="1050" spans="1:21" ht="61.2">
      <c r="A1050" s="6">
        <v>43438.834699074076</v>
      </c>
      <c r="B1050" s="7" t="str">
        <f>HYPERLINK("https://twitter.com/JorgeAbad25","@JorgeAbad25")</f>
        <v>@JorgeAbad25</v>
      </c>
      <c r="C1050" s="8" t="s">
        <v>3666</v>
      </c>
      <c r="D1050" s="9" t="s">
        <v>3667</v>
      </c>
      <c r="E1050" s="10" t="str">
        <f>HYPERLINK("https://twitter.com/JorgeAbad25/status/1070030466290462721","1070030466290462721")</f>
        <v>1070030466290462721</v>
      </c>
      <c r="F1050" s="11" t="s">
        <v>3668</v>
      </c>
      <c r="G1050" s="11" t="s">
        <v>3669</v>
      </c>
      <c r="H1050" s="12"/>
      <c r="I1050" s="13">
        <v>0</v>
      </c>
      <c r="J1050" s="13">
        <v>2</v>
      </c>
      <c r="K1050" s="14" t="str">
        <f>HYPERLINK("http://twitter.com/download/android","Twitter for Android")</f>
        <v>Twitter for Android</v>
      </c>
      <c r="L1050" s="13">
        <v>667</v>
      </c>
      <c r="M1050" s="13">
        <v>510</v>
      </c>
      <c r="N1050" s="13">
        <v>18</v>
      </c>
      <c r="O1050" s="15"/>
      <c r="P1050" s="6">
        <v>40200.923773148148</v>
      </c>
      <c r="Q1050" s="16" t="s">
        <v>191</v>
      </c>
      <c r="R1050" s="17" t="s">
        <v>3670</v>
      </c>
      <c r="S1050" s="11" t="s">
        <v>3671</v>
      </c>
      <c r="T1050" s="12"/>
      <c r="U1050" s="10" t="str">
        <f>HYPERLINK("https://pbs.twimg.com/profile_images/1066739602784993281/-3XyK6MU.jpg","View")</f>
        <v>View</v>
      </c>
    </row>
    <row r="1051" spans="1:21" ht="30.6">
      <c r="A1051" s="6">
        <v>43438.832557870366</v>
      </c>
      <c r="B1051" s="7" t="str">
        <f>HYPERLINK("https://twitter.com/pablo_casado","@pablo_casado")</f>
        <v>@pablo_casado</v>
      </c>
      <c r="C1051" s="8" t="s">
        <v>2892</v>
      </c>
      <c r="D1051" s="9" t="s">
        <v>3672</v>
      </c>
      <c r="E1051" s="10" t="str">
        <f>HYPERLINK("https://twitter.com/pablo_casado/status/1070029690566512640","1070029690566512640")</f>
        <v>1070029690566512640</v>
      </c>
      <c r="F1051" s="11" t="s">
        <v>3037</v>
      </c>
      <c r="G1051" s="12"/>
      <c r="H1051" s="12"/>
      <c r="I1051" s="13">
        <v>2</v>
      </c>
      <c r="J1051" s="13">
        <v>4</v>
      </c>
      <c r="K1051" s="14" t="str">
        <f>HYPERLINK("http://twitter.com/download/iphone","Twitter for iPhone")</f>
        <v>Twitter for iPhone</v>
      </c>
      <c r="L1051" s="13">
        <v>803</v>
      </c>
      <c r="M1051" s="13">
        <v>1180</v>
      </c>
      <c r="N1051" s="13">
        <v>16</v>
      </c>
      <c r="O1051" s="15"/>
      <c r="P1051" s="6">
        <v>40631.644189814819</v>
      </c>
      <c r="Q1051" s="16" t="s">
        <v>2895</v>
      </c>
      <c r="R1051" s="17" t="s">
        <v>2896</v>
      </c>
      <c r="S1051" s="11" t="s">
        <v>2897</v>
      </c>
      <c r="T1051" s="12"/>
      <c r="U1051" s="10" t="str">
        <f>HYPERLINK("https://pbs.twimg.com/profile_images/960372546393837569/o7y23nco.jpg","View")</f>
        <v>View</v>
      </c>
    </row>
    <row r="1052" spans="1:21" ht="51">
      <c r="A1052" s="6">
        <v>43438.83185185185</v>
      </c>
      <c r="B1052" s="7" t="str">
        <f>HYPERLINK("https://twitter.com/clickconection","@clickconection")</f>
        <v>@clickconection</v>
      </c>
      <c r="C1052" s="8" t="s">
        <v>3673</v>
      </c>
      <c r="D1052" s="9" t="s">
        <v>3674</v>
      </c>
      <c r="E1052" s="10" t="str">
        <f>HYPERLINK("https://twitter.com/clickconection/status/1070029435569664000","1070029435569664000")</f>
        <v>1070029435569664000</v>
      </c>
      <c r="F1052" s="12"/>
      <c r="G1052" s="12"/>
      <c r="H1052" s="12"/>
      <c r="I1052" s="13">
        <v>0</v>
      </c>
      <c r="J1052" s="13">
        <v>0</v>
      </c>
      <c r="K1052" s="14" t="str">
        <f>HYPERLINK("http://twitter.com/download/android","Twitter for Android")</f>
        <v>Twitter for Android</v>
      </c>
      <c r="L1052" s="13">
        <v>843</v>
      </c>
      <c r="M1052" s="13">
        <v>1416</v>
      </c>
      <c r="N1052" s="13">
        <v>71</v>
      </c>
      <c r="O1052" s="15"/>
      <c r="P1052" s="6">
        <v>40145.922569444447</v>
      </c>
      <c r="Q1052" s="16" t="s">
        <v>191</v>
      </c>
      <c r="R1052" s="17" t="s">
        <v>3675</v>
      </c>
      <c r="S1052" s="11" t="s">
        <v>3676</v>
      </c>
      <c r="T1052" s="12"/>
      <c r="U1052" s="10" t="str">
        <f>HYPERLINK("https://pbs.twimg.com/profile_images/969172450343866370/GY98tc7H.jpg","View")</f>
        <v>View</v>
      </c>
    </row>
    <row r="1053" spans="1:21" ht="30.6">
      <c r="A1053" s="6">
        <v>43438.83048611111</v>
      </c>
      <c r="B1053" s="7" t="str">
        <f>HYPERLINK("https://twitter.com/pablo_casado","@pablo_casado")</f>
        <v>@pablo_casado</v>
      </c>
      <c r="C1053" s="8" t="s">
        <v>2892</v>
      </c>
      <c r="D1053" s="9" t="s">
        <v>3677</v>
      </c>
      <c r="E1053" s="10" t="str">
        <f>HYPERLINK("https://twitter.com/pablo_casado/status/1070028942432788482","1070028942432788482")</f>
        <v>1070028942432788482</v>
      </c>
      <c r="F1053" s="11" t="s">
        <v>3678</v>
      </c>
      <c r="G1053" s="12"/>
      <c r="H1053" s="12"/>
      <c r="I1053" s="13">
        <v>0</v>
      </c>
      <c r="J1053" s="13">
        <v>1</v>
      </c>
      <c r="K1053" s="14" t="str">
        <f>HYPERLINK("http://instagram.com","Instagram")</f>
        <v>Instagram</v>
      </c>
      <c r="L1053" s="13">
        <v>803</v>
      </c>
      <c r="M1053" s="13">
        <v>1180</v>
      </c>
      <c r="N1053" s="13">
        <v>16</v>
      </c>
      <c r="O1053" s="15"/>
      <c r="P1053" s="6">
        <v>40631.644189814819</v>
      </c>
      <c r="Q1053" s="16" t="s">
        <v>2895</v>
      </c>
      <c r="R1053" s="17" t="s">
        <v>2896</v>
      </c>
      <c r="S1053" s="11" t="s">
        <v>2897</v>
      </c>
      <c r="T1053" s="12"/>
      <c r="U1053" s="10" t="str">
        <f>HYPERLINK("https://pbs.twimg.com/profile_images/960372546393837569/o7y23nco.jpg","View")</f>
        <v>View</v>
      </c>
    </row>
    <row r="1054" spans="1:21" ht="30.6">
      <c r="A1054" s="6">
        <v>43438.82949074074</v>
      </c>
      <c r="B1054" s="7" t="str">
        <f>HYPERLINK("https://twitter.com/O_Zeda","@O_Zeda")</f>
        <v>@O_Zeda</v>
      </c>
      <c r="C1054" s="8" t="s">
        <v>3680</v>
      </c>
      <c r="D1054" s="9" t="s">
        <v>3681</v>
      </c>
      <c r="E1054" s="10" t="str">
        <f>HYPERLINK("https://twitter.com/O_Zeda/status/1070028579348598784","1070028579348598784")</f>
        <v>1070028579348598784</v>
      </c>
      <c r="F1054" s="11" t="s">
        <v>3682</v>
      </c>
      <c r="G1054" s="12"/>
      <c r="H1054" s="12"/>
      <c r="I1054" s="13">
        <v>0</v>
      </c>
      <c r="J1054" s="13">
        <v>3</v>
      </c>
      <c r="K1054" s="14" t="str">
        <f>HYPERLINK("http://twitter.com/download/android","Twitter for Android")</f>
        <v>Twitter for Android</v>
      </c>
      <c r="L1054" s="13">
        <v>725</v>
      </c>
      <c r="M1054" s="13">
        <v>433</v>
      </c>
      <c r="N1054" s="13">
        <v>3</v>
      </c>
      <c r="O1054" s="15"/>
      <c r="P1054" s="6">
        <v>40682.889479166668</v>
      </c>
      <c r="Q1054" s="16" t="s">
        <v>2641</v>
      </c>
      <c r="R1054" s="17" t="s">
        <v>3683</v>
      </c>
      <c r="S1054" s="12"/>
      <c r="T1054" s="12"/>
      <c r="U1054" s="10" t="str">
        <f>HYPERLINK("https://pbs.twimg.com/profile_images/484378715812810753/MEm9shhy.jpeg","View")</f>
        <v>View</v>
      </c>
    </row>
    <row r="1055" spans="1:21" ht="51">
      <c r="A1055" s="6">
        <v>43438.8278125</v>
      </c>
      <c r="B1055" s="7" t="str">
        <f>HYPERLINK("https://twitter.com/Geertxu","@Geertxu")</f>
        <v>@Geertxu</v>
      </c>
      <c r="C1055" s="8" t="s">
        <v>3684</v>
      </c>
      <c r="D1055" s="9" t="s">
        <v>3685</v>
      </c>
      <c r="E1055" s="10" t="str">
        <f>HYPERLINK("https://twitter.com/Geertxu/status/1070027974483865601","1070027974483865601")</f>
        <v>1070027974483865601</v>
      </c>
      <c r="F1055" s="11" t="s">
        <v>3686</v>
      </c>
      <c r="G1055" s="12"/>
      <c r="H1055" s="12"/>
      <c r="I1055" s="13">
        <v>8</v>
      </c>
      <c r="J1055" s="13">
        <v>11</v>
      </c>
      <c r="K1055" s="14" t="str">
        <f>HYPERLINK("http://twitter.com/download/iphone","Twitter for iPhone")</f>
        <v>Twitter for iPhone</v>
      </c>
      <c r="L1055" s="13">
        <v>2928</v>
      </c>
      <c r="M1055" s="13">
        <v>998</v>
      </c>
      <c r="N1055" s="13">
        <v>45</v>
      </c>
      <c r="O1055" s="15"/>
      <c r="P1055" s="6">
        <v>40612.667673611111</v>
      </c>
      <c r="Q1055" s="16" t="s">
        <v>3687</v>
      </c>
      <c r="R1055" s="17" t="s">
        <v>3688</v>
      </c>
      <c r="S1055" s="12"/>
      <c r="T1055" s="12"/>
      <c r="U1055" s="10" t="str">
        <f>HYPERLINK("https://pbs.twimg.com/profile_images/1050871193451094021/VjkUgdJO.jpg","View")</f>
        <v>View</v>
      </c>
    </row>
    <row r="1056" spans="1:21" ht="40.799999999999997">
      <c r="A1056" s="6">
        <v>43438.822812500002</v>
      </c>
      <c r="B1056" s="7" t="str">
        <f>HYPERLINK("https://twitter.com/Joseluiscalvoch","@Joseluiscalvoch")</f>
        <v>@Joseluiscalvoch</v>
      </c>
      <c r="C1056" s="8" t="s">
        <v>3689</v>
      </c>
      <c r="D1056" s="9" t="s">
        <v>1582</v>
      </c>
      <c r="E1056" s="10" t="str">
        <f>HYPERLINK("https://twitter.com/Joseluiscalvoch/status/1070026162263465984","1070026162263465984")</f>
        <v>1070026162263465984</v>
      </c>
      <c r="F1056" s="11" t="s">
        <v>1583</v>
      </c>
      <c r="G1056" s="12"/>
      <c r="H1056" s="12"/>
      <c r="I1056" s="13">
        <v>0</v>
      </c>
      <c r="J1056" s="13">
        <v>0</v>
      </c>
      <c r="K1056" s="14" t="str">
        <f>HYPERLINK("http://twitter.com/#!/download/ipad","Twitter for iPad")</f>
        <v>Twitter for iPad</v>
      </c>
      <c r="L1056" s="13">
        <v>1340</v>
      </c>
      <c r="M1056" s="13">
        <v>1837</v>
      </c>
      <c r="N1056" s="13">
        <v>20</v>
      </c>
      <c r="O1056" s="15"/>
      <c r="P1056" s="6">
        <v>41575.99695601852</v>
      </c>
      <c r="Q1056" s="12"/>
      <c r="R1056" s="17" t="s">
        <v>3690</v>
      </c>
      <c r="S1056" s="12"/>
      <c r="T1056" s="12"/>
      <c r="U1056" s="10" t="str">
        <f>HYPERLINK("https://pbs.twimg.com/profile_images/378800000727472778/b2524f53e372848ff2d1d782ffe3fb6e.jpeg","View")</f>
        <v>View</v>
      </c>
    </row>
    <row r="1057" spans="1:21" ht="71.400000000000006">
      <c r="A1057" s="6">
        <v>43438.822118055556</v>
      </c>
      <c r="B1057" s="7" t="str">
        <f>HYPERLINK("https://twitter.com/GinTonicGirl7","@GinTonicGirl7")</f>
        <v>@GinTonicGirl7</v>
      </c>
      <c r="C1057" s="8" t="s">
        <v>3691</v>
      </c>
      <c r="D1057" s="9" t="s">
        <v>3692</v>
      </c>
      <c r="E1057" s="10" t="str">
        <f>HYPERLINK("https://twitter.com/GinTonicGirl7/status/1070025907002331137","1070025907002331137")</f>
        <v>1070025907002331137</v>
      </c>
      <c r="F1057" s="16" t="s">
        <v>2991</v>
      </c>
      <c r="G1057" s="12"/>
      <c r="H1057" s="12"/>
      <c r="I1057" s="13">
        <v>1</v>
      </c>
      <c r="J1057" s="13">
        <v>3</v>
      </c>
      <c r="K1057" s="14" t="str">
        <f>HYPERLINK("http://twitter.com/download/iphone","Twitter for iPhone")</f>
        <v>Twitter for iPhone</v>
      </c>
      <c r="L1057" s="13">
        <v>4135</v>
      </c>
      <c r="M1057" s="13">
        <v>1724</v>
      </c>
      <c r="N1057" s="13">
        <v>76</v>
      </c>
      <c r="O1057" s="15"/>
      <c r="P1057" s="6">
        <v>40746.420555555553</v>
      </c>
      <c r="Q1057" s="16" t="s">
        <v>3693</v>
      </c>
      <c r="R1057" s="17" t="s">
        <v>3694</v>
      </c>
      <c r="S1057" s="11" t="s">
        <v>3695</v>
      </c>
      <c r="T1057" s="12"/>
      <c r="U1057" s="10" t="str">
        <f>HYPERLINK("https://pbs.twimg.com/profile_images/1053344602718171136/7AJD76pq.jpg","View")</f>
        <v>View</v>
      </c>
    </row>
    <row r="1058" spans="1:21" ht="30.6">
      <c r="A1058" s="6">
        <v>43438.821400462963</v>
      </c>
      <c r="B1058" s="7" t="str">
        <f>HYPERLINK("https://twitter.com/SENECA_HH","@SENECA_HH")</f>
        <v>@SENECA_HH</v>
      </c>
      <c r="C1058" s="8" t="s">
        <v>3696</v>
      </c>
      <c r="D1058" s="9" t="s">
        <v>3697</v>
      </c>
      <c r="E1058" s="10" t="str">
        <f>HYPERLINK("https://twitter.com/SENECA_HH/status/1070025649480454144","1070025649480454144")</f>
        <v>1070025649480454144</v>
      </c>
      <c r="F1058" s="11" t="s">
        <v>3698</v>
      </c>
      <c r="G1058" s="12"/>
      <c r="H1058" s="12"/>
      <c r="I1058" s="13">
        <v>0</v>
      </c>
      <c r="J1058" s="13">
        <v>0</v>
      </c>
      <c r="K1058" s="14" t="str">
        <f>HYPERLINK("http://twitter.com","Twitter Web Client")</f>
        <v>Twitter Web Client</v>
      </c>
      <c r="L1058" s="13">
        <v>1382</v>
      </c>
      <c r="M1058" s="13">
        <v>972</v>
      </c>
      <c r="N1058" s="13">
        <v>25</v>
      </c>
      <c r="O1058" s="15"/>
      <c r="P1058" s="6">
        <v>40944.904756944445</v>
      </c>
      <c r="Q1058" s="16" t="s">
        <v>48</v>
      </c>
      <c r="R1058" s="17" t="s">
        <v>3699</v>
      </c>
      <c r="S1058" s="12"/>
      <c r="T1058" s="12"/>
      <c r="U1058" s="10" t="str">
        <f>HYPERLINK("https://pbs.twimg.com/profile_images/1006505117884076033/HyYIq-WV.jpg","View")</f>
        <v>View</v>
      </c>
    </row>
    <row r="1059" spans="1:21" ht="20.399999999999999">
      <c r="A1059" s="6">
        <v>43438.81895833333</v>
      </c>
      <c r="B1059" s="7" t="str">
        <f>HYPERLINK("https://twitter.com/EP_EEUU","@EP_EEUU")</f>
        <v>@EP_EEUU</v>
      </c>
      <c r="C1059" s="8" t="s">
        <v>2717</v>
      </c>
      <c r="D1059" s="9" t="s">
        <v>2718</v>
      </c>
      <c r="E1059" s="10" t="str">
        <f>HYPERLINK("https://twitter.com/EP_EEUU/status/1070024764859797504","1070024764859797504")</f>
        <v>1070024764859797504</v>
      </c>
      <c r="F1059" s="11" t="s">
        <v>2719</v>
      </c>
      <c r="G1059" s="11" t="s">
        <v>3700</v>
      </c>
      <c r="H1059" s="12"/>
      <c r="I1059" s="13">
        <v>0</v>
      </c>
      <c r="J1059" s="13">
        <v>0</v>
      </c>
      <c r="K1059" s="14" t="str">
        <f>HYPERLINK("http://epmundo.com","Tuiteo TOP EP (3)")</f>
        <v>Tuiteo TOP EP (3)</v>
      </c>
      <c r="L1059" s="13">
        <v>71604</v>
      </c>
      <c r="M1059" s="13">
        <v>69779</v>
      </c>
      <c r="N1059" s="13">
        <v>227</v>
      </c>
      <c r="O1059" s="15"/>
      <c r="P1059" s="6">
        <v>40710.977870370371</v>
      </c>
      <c r="Q1059" s="16" t="s">
        <v>2721</v>
      </c>
      <c r="R1059" s="17" t="s">
        <v>2722</v>
      </c>
      <c r="S1059" s="11" t="s">
        <v>2723</v>
      </c>
      <c r="T1059" s="12"/>
      <c r="U1059" s="10" t="str">
        <f>HYPERLINK("https://pbs.twimg.com/profile_images/958331773171191808/TAv5yST9.jpg","View")</f>
        <v>View</v>
      </c>
    </row>
    <row r="1060" spans="1:21" ht="20.399999999999999">
      <c r="A1060" s="6">
        <v>43438.817939814813</v>
      </c>
      <c r="B1060" s="7" t="str">
        <f>HYPERLINK("https://twitter.com/mapuentesrojas","@mapuentesrojas")</f>
        <v>@mapuentesrojas</v>
      </c>
      <c r="C1060" s="8" t="s">
        <v>3701</v>
      </c>
      <c r="D1060" s="9" t="s">
        <v>3702</v>
      </c>
      <c r="E1060" s="10" t="str">
        <f>HYPERLINK("https://twitter.com/mapuentesrojas/status/1070024394179821568","1070024394179821568")</f>
        <v>1070024394179821568</v>
      </c>
      <c r="F1060" s="11" t="s">
        <v>3703</v>
      </c>
      <c r="G1060" s="12"/>
      <c r="H1060" s="12"/>
      <c r="I1060" s="13">
        <v>0</v>
      </c>
      <c r="J1060" s="13">
        <v>0</v>
      </c>
      <c r="K1060" s="14" t="str">
        <f>HYPERLINK("http://www.blastingnews.com","Blasting News")</f>
        <v>Blasting News</v>
      </c>
      <c r="L1060" s="13">
        <v>510</v>
      </c>
      <c r="M1060" s="13">
        <v>587</v>
      </c>
      <c r="N1060" s="13">
        <v>21</v>
      </c>
      <c r="O1060" s="15"/>
      <c r="P1060" s="6">
        <v>41158.957430555558</v>
      </c>
      <c r="Q1060" s="16" t="s">
        <v>1754</v>
      </c>
      <c r="R1060" s="17" t="s">
        <v>3704</v>
      </c>
      <c r="S1060" s="11" t="s">
        <v>3705</v>
      </c>
      <c r="T1060" s="12"/>
      <c r="U1060" s="10" t="str">
        <f>HYPERLINK("https://pbs.twimg.com/profile_images/1060619497416114176/owzaFuHs.jpg","View")</f>
        <v>View</v>
      </c>
    </row>
    <row r="1061" spans="1:21" ht="40.799999999999997">
      <c r="A1061" s="6">
        <v>43438.815520833334</v>
      </c>
      <c r="B1061" s="7" t="str">
        <f>HYPERLINK("https://twitter.com/JesusOrtegaE","@JesusOrtegaE")</f>
        <v>@JesusOrtegaE</v>
      </c>
      <c r="C1061" s="8" t="s">
        <v>3706</v>
      </c>
      <c r="D1061" s="9" t="s">
        <v>3707</v>
      </c>
      <c r="E1061" s="10" t="str">
        <f>HYPERLINK("https://twitter.com/JesusOrtegaE/status/1070023518509772801","1070023518509772801")</f>
        <v>1070023518509772801</v>
      </c>
      <c r="F1061" s="11" t="s">
        <v>3708</v>
      </c>
      <c r="G1061" s="11" t="s">
        <v>3709</v>
      </c>
      <c r="H1061" s="12"/>
      <c r="I1061" s="13">
        <v>1</v>
      </c>
      <c r="J1061" s="13">
        <v>0</v>
      </c>
      <c r="K1061" s="14" t="str">
        <f>HYPERLINK("http://twitter.com","Twitter Web Client")</f>
        <v>Twitter Web Client</v>
      </c>
      <c r="L1061" s="13">
        <v>1015</v>
      </c>
      <c r="M1061" s="13">
        <v>906</v>
      </c>
      <c r="N1061" s="13">
        <v>52</v>
      </c>
      <c r="O1061" s="15"/>
      <c r="P1061" s="6">
        <v>40294.814687500002</v>
      </c>
      <c r="Q1061" s="12"/>
      <c r="R1061" s="17" t="s">
        <v>3710</v>
      </c>
      <c r="S1061" s="12"/>
      <c r="T1061" s="12"/>
      <c r="U1061" s="10" t="str">
        <f>HYPERLINK("https://pbs.twimg.com/profile_images/686624690882895872/zGQ0_CVq.jpg","View")</f>
        <v>View</v>
      </c>
    </row>
    <row r="1062" spans="1:21" ht="20.399999999999999">
      <c r="A1062" s="6">
        <v>43438.814965277779</v>
      </c>
      <c r="B1062" s="7" t="str">
        <f>HYPERLINK("https://twitter.com/__f__m__b__","@__f__m__b__")</f>
        <v>@__f__m__b__</v>
      </c>
      <c r="C1062" s="8" t="s">
        <v>3711</v>
      </c>
      <c r="D1062" s="9" t="s">
        <v>3712</v>
      </c>
      <c r="E1062" s="10" t="str">
        <f>HYPERLINK("https://twitter.com/__f__m__b__/status/1070023318777008128","1070023318777008128")</f>
        <v>1070023318777008128</v>
      </c>
      <c r="F1062" s="12"/>
      <c r="G1062" s="12"/>
      <c r="H1062" s="12"/>
      <c r="I1062" s="13">
        <v>0</v>
      </c>
      <c r="J1062" s="13">
        <v>0</v>
      </c>
      <c r="K1062" s="14" t="str">
        <f>HYPERLINK("http://twitter.com/download/iphone","Twitter for iPhone")</f>
        <v>Twitter for iPhone</v>
      </c>
      <c r="L1062" s="13">
        <v>1215</v>
      </c>
      <c r="M1062" s="13">
        <v>1030</v>
      </c>
      <c r="N1062" s="13">
        <v>11</v>
      </c>
      <c r="O1062" s="15"/>
      <c r="P1062" s="6">
        <v>41940.792349537034</v>
      </c>
      <c r="Q1062" s="12"/>
      <c r="R1062" s="17" t="s">
        <v>3713</v>
      </c>
      <c r="S1062" s="12"/>
      <c r="T1062" s="12"/>
      <c r="U1062" s="10" t="str">
        <f>HYPERLINK("https://pbs.twimg.com/profile_images/864457198193082372/tfz2di_v.jpg","View")</f>
        <v>View</v>
      </c>
    </row>
    <row r="1063" spans="1:21" ht="61.2">
      <c r="A1063" s="6">
        <v>43438.813402777778</v>
      </c>
      <c r="B1063" s="7" t="str">
        <f>HYPERLINK("https://twitter.com/Rednet84463669","@Rednet84463669")</f>
        <v>@Rednet84463669</v>
      </c>
      <c r="C1063" s="8" t="s">
        <v>789</v>
      </c>
      <c r="D1063" s="9" t="s">
        <v>3714</v>
      </c>
      <c r="E1063" s="10" t="str">
        <f>HYPERLINK("https://twitter.com/Rednet84463669/status/1070022751472246785","1070022751472246785")</f>
        <v>1070022751472246785</v>
      </c>
      <c r="F1063" s="12"/>
      <c r="G1063" s="12"/>
      <c r="H1063" s="12"/>
      <c r="I1063" s="13">
        <v>0</v>
      </c>
      <c r="J1063" s="13">
        <v>0</v>
      </c>
      <c r="K1063" s="14" t="str">
        <f>HYPERLINK("http://twitter.com","Twitter Web Client")</f>
        <v>Twitter Web Client</v>
      </c>
      <c r="L1063" s="13">
        <v>0</v>
      </c>
      <c r="M1063" s="13">
        <v>12</v>
      </c>
      <c r="N1063" s="13">
        <v>0</v>
      </c>
      <c r="O1063" s="15"/>
      <c r="P1063" s="6">
        <v>43361.783506944441</v>
      </c>
      <c r="Q1063" s="12"/>
      <c r="R1063" s="20"/>
      <c r="S1063" s="12"/>
      <c r="T1063" s="12"/>
      <c r="U1063" s="10" t="str">
        <f>HYPERLINK("https://pbs.twimg.com/profile_images/1042103401046335489/qvM4AW4C.jpg","View")</f>
        <v>View</v>
      </c>
    </row>
    <row r="1064" spans="1:21" ht="30.6">
      <c r="A1064" s="6">
        <v>43438.809027777781</v>
      </c>
      <c r="B1064" s="7" t="str">
        <f>HYPERLINK("https://twitter.com/A3Noticias","@A3Noticias")</f>
        <v>@A3Noticias</v>
      </c>
      <c r="C1064" s="8" t="s">
        <v>1852</v>
      </c>
      <c r="D1064" s="9" t="s">
        <v>3715</v>
      </c>
      <c r="E1064" s="10" t="str">
        <f>HYPERLINK("https://twitter.com/A3Noticias/status/1070021165928865792","1070021165928865792")</f>
        <v>1070021165928865792</v>
      </c>
      <c r="F1064" s="11" t="s">
        <v>3716</v>
      </c>
      <c r="G1064" s="11" t="s">
        <v>3717</v>
      </c>
      <c r="H1064" s="12"/>
      <c r="I1064" s="13">
        <v>4</v>
      </c>
      <c r="J1064" s="13">
        <v>11</v>
      </c>
      <c r="K1064" s="14" t="str">
        <f>HYPERLINK("http://dogtrack.es","DogTrack_Oficial")</f>
        <v>DogTrack_Oficial</v>
      </c>
      <c r="L1064" s="13">
        <v>1723924</v>
      </c>
      <c r="M1064" s="13">
        <v>407</v>
      </c>
      <c r="N1064" s="13">
        <v>8117</v>
      </c>
      <c r="O1064" s="19" t="s">
        <v>44</v>
      </c>
      <c r="P1064" s="6">
        <v>40318.523495370369</v>
      </c>
      <c r="Q1064" s="12"/>
      <c r="R1064" s="17" t="s">
        <v>1855</v>
      </c>
      <c r="S1064" s="11" t="s">
        <v>1856</v>
      </c>
      <c r="T1064" s="12"/>
      <c r="U1064" s="10" t="str">
        <f>HYPERLINK("https://pbs.twimg.com/profile_images/1047424467411107840/znEO0bjJ.jpg","View")</f>
        <v>View</v>
      </c>
    </row>
    <row r="1065" spans="1:21" ht="30.6">
      <c r="A1065" s="6">
        <v>43438.808912037042</v>
      </c>
      <c r="B1065" s="7" t="str">
        <f>HYPERLINK("https://twitter.com/okdiario","@okdiario")</f>
        <v>@okdiario</v>
      </c>
      <c r="C1065" s="8" t="s">
        <v>60</v>
      </c>
      <c r="D1065" s="9" t="s">
        <v>3718</v>
      </c>
      <c r="E1065" s="10" t="str">
        <f>HYPERLINK("https://twitter.com/okdiario/status/1070021123033698304","1070021123033698304")</f>
        <v>1070021123033698304</v>
      </c>
      <c r="F1065" s="11" t="s">
        <v>3719</v>
      </c>
      <c r="G1065" s="12"/>
      <c r="H1065" s="12"/>
      <c r="I1065" s="13">
        <v>3</v>
      </c>
      <c r="J1065" s="13">
        <v>14</v>
      </c>
      <c r="K1065" s="14" t="str">
        <f>HYPERLINK("https://www.echobox.com","Echobox Social")</f>
        <v>Echobox Social</v>
      </c>
      <c r="L1065" s="13">
        <v>112410</v>
      </c>
      <c r="M1065" s="13">
        <v>343</v>
      </c>
      <c r="N1065" s="13">
        <v>1440</v>
      </c>
      <c r="O1065" s="19" t="s">
        <v>44</v>
      </c>
      <c r="P1065" s="6">
        <v>42241.708229166667</v>
      </c>
      <c r="Q1065" s="12"/>
      <c r="R1065" s="17" t="s">
        <v>63</v>
      </c>
      <c r="S1065" s="11" t="s">
        <v>64</v>
      </c>
      <c r="T1065" s="12"/>
      <c r="U1065" s="10" t="str">
        <f>HYPERLINK("https://pbs.twimg.com/profile_images/789113773697208320/3LvFvi8Q.jpg","View")</f>
        <v>View</v>
      </c>
    </row>
    <row r="1066" spans="1:21" ht="40.799999999999997">
      <c r="A1066" s="6">
        <v>43438.803738425922</v>
      </c>
      <c r="B1066" s="7" t="str">
        <f>HYPERLINK("https://twitter.com/compromtido22","@compromtido22")</f>
        <v>@compromtido22</v>
      </c>
      <c r="C1066" s="8" t="s">
        <v>702</v>
      </c>
      <c r="D1066" s="9" t="s">
        <v>3720</v>
      </c>
      <c r="E1066" s="10" t="str">
        <f>HYPERLINK("https://twitter.com/compromtido22/status/1070019249710751746","1070019249710751746")</f>
        <v>1070019249710751746</v>
      </c>
      <c r="F1066" s="12"/>
      <c r="G1066" s="12"/>
      <c r="H1066" s="12"/>
      <c r="I1066" s="13">
        <v>0</v>
      </c>
      <c r="J1066" s="13">
        <v>0</v>
      </c>
      <c r="K1066" s="14" t="str">
        <f>HYPERLINK("http://twitter.com/download/android","Twitter for Android")</f>
        <v>Twitter for Android</v>
      </c>
      <c r="L1066" s="13">
        <v>955</v>
      </c>
      <c r="M1066" s="13">
        <v>858</v>
      </c>
      <c r="N1066" s="13">
        <v>15</v>
      </c>
      <c r="O1066" s="15"/>
      <c r="P1066" s="6">
        <v>42411.832291666666</v>
      </c>
      <c r="Q1066" s="12"/>
      <c r="R1066" s="17" t="s">
        <v>704</v>
      </c>
      <c r="S1066" s="12"/>
      <c r="T1066" s="12"/>
      <c r="U1066" s="10" t="str">
        <f>HYPERLINK("https://pbs.twimg.com/profile_images/1062806370267860993/RfSkyzB-.jpg","View")</f>
        <v>View</v>
      </c>
    </row>
    <row r="1067" spans="1:21" ht="20.399999999999999">
      <c r="A1067" s="6">
        <v>43438.801180555558</v>
      </c>
      <c r="B1067" s="7" t="str">
        <f>HYPERLINK("https://twitter.com/fermont1965","@fermont1965")</f>
        <v>@fermont1965</v>
      </c>
      <c r="C1067" s="8" t="s">
        <v>1099</v>
      </c>
      <c r="D1067" s="9" t="s">
        <v>3721</v>
      </c>
      <c r="E1067" s="10" t="str">
        <f>HYPERLINK("https://twitter.com/fermont1965/status/1070018319892312064","1070018319892312064")</f>
        <v>1070018319892312064</v>
      </c>
      <c r="F1067" s="12"/>
      <c r="G1067" s="11" t="s">
        <v>3722</v>
      </c>
      <c r="H1067" s="12"/>
      <c r="I1067" s="13">
        <v>2</v>
      </c>
      <c r="J1067" s="13">
        <v>8</v>
      </c>
      <c r="K1067" s="14" t="str">
        <f t="shared" ref="K1067:K1068" si="179">HYPERLINK("http://twitter.com","Twitter Web Client")</f>
        <v>Twitter Web Client</v>
      </c>
      <c r="L1067" s="13">
        <v>35257</v>
      </c>
      <c r="M1067" s="13">
        <v>9078</v>
      </c>
      <c r="N1067" s="13">
        <v>306</v>
      </c>
      <c r="O1067" s="15"/>
      <c r="P1067" s="6">
        <v>40608.760115740741</v>
      </c>
      <c r="Q1067" s="16" t="s">
        <v>1101</v>
      </c>
      <c r="R1067" s="17" t="s">
        <v>1102</v>
      </c>
      <c r="S1067" s="12"/>
      <c r="T1067" s="12"/>
      <c r="U1067" s="10" t="str">
        <f>HYPERLINK("https://pbs.twimg.com/profile_images/617818600326438912/_o-dirdy.jpg","View")</f>
        <v>View</v>
      </c>
    </row>
    <row r="1068" spans="1:21" ht="51">
      <c r="A1068" s="6">
        <v>43438.799386574072</v>
      </c>
      <c r="B1068" s="7" t="str">
        <f>HYPERLINK("https://twitter.com/josegabriel467","@josegabriel467")</f>
        <v>@josegabriel467</v>
      </c>
      <c r="C1068" s="8" t="s">
        <v>3723</v>
      </c>
      <c r="D1068" s="9" t="s">
        <v>3724</v>
      </c>
      <c r="E1068" s="10" t="str">
        <f>HYPERLINK("https://twitter.com/josegabriel467/status/1070017671608053766","1070017671608053766")</f>
        <v>1070017671608053766</v>
      </c>
      <c r="F1068" s="12"/>
      <c r="G1068" s="12"/>
      <c r="H1068" s="12"/>
      <c r="I1068" s="13">
        <v>0</v>
      </c>
      <c r="J1068" s="13">
        <v>0</v>
      </c>
      <c r="K1068" s="14" t="str">
        <f t="shared" si="179"/>
        <v>Twitter Web Client</v>
      </c>
      <c r="L1068" s="13">
        <v>1624</v>
      </c>
      <c r="M1068" s="13">
        <v>1614</v>
      </c>
      <c r="N1068" s="13">
        <v>23</v>
      </c>
      <c r="O1068" s="15"/>
      <c r="P1068" s="6">
        <v>40844.535150462965</v>
      </c>
      <c r="Q1068" s="16" t="s">
        <v>48</v>
      </c>
      <c r="R1068" s="17" t="s">
        <v>3725</v>
      </c>
      <c r="S1068" s="11" t="s">
        <v>3726</v>
      </c>
      <c r="T1068" s="12"/>
      <c r="U1068" s="10" t="str">
        <f>HYPERLINK("https://pbs.twimg.com/profile_images/864586721966436354/WwV_o0gL.jpg","View")</f>
        <v>View</v>
      </c>
    </row>
    <row r="1069" spans="1:21" ht="30.6">
      <c r="A1069" s="6">
        <v>43438.793715277774</v>
      </c>
      <c r="B1069" s="7" t="str">
        <f>HYPERLINK("https://twitter.com/La_Sopa_Digital","@La_Sopa_Digital")</f>
        <v>@La_Sopa_Digital</v>
      </c>
      <c r="C1069" s="8" t="s">
        <v>3419</v>
      </c>
      <c r="D1069" s="9" t="s">
        <v>2672</v>
      </c>
      <c r="E1069" s="10" t="str">
        <f>HYPERLINK("https://twitter.com/La_Sopa_Digital/status/1070015615866494977","1070015615866494977")</f>
        <v>1070015615866494977</v>
      </c>
      <c r="F1069" s="11" t="s">
        <v>2719</v>
      </c>
      <c r="G1069" s="11" t="s">
        <v>3727</v>
      </c>
      <c r="H1069" s="12"/>
      <c r="I1069" s="13">
        <v>0</v>
      </c>
      <c r="J1069" s="13">
        <v>0</v>
      </c>
      <c r="K1069" s="14" t="str">
        <f>HYPERLINK("http://epmundo.com","Tuiteo TOP EP (3)")</f>
        <v>Tuiteo TOP EP (3)</v>
      </c>
      <c r="L1069" s="13">
        <v>69486</v>
      </c>
      <c r="M1069" s="13">
        <v>69754</v>
      </c>
      <c r="N1069" s="13">
        <v>166</v>
      </c>
      <c r="O1069" s="15"/>
      <c r="P1069" s="6">
        <v>41499.193749999999</v>
      </c>
      <c r="Q1069" s="12"/>
      <c r="R1069" s="17" t="s">
        <v>3422</v>
      </c>
      <c r="S1069" s="12"/>
      <c r="T1069" s="12"/>
      <c r="U1069" s="10" t="str">
        <f>HYPERLINK("https://pbs.twimg.com/profile_images/913059846420869120/amCh9oia.jpg","View")</f>
        <v>View</v>
      </c>
    </row>
    <row r="1070" spans="1:21" ht="40.799999999999997">
      <c r="A1070" s="6">
        <v>43438.791678240741</v>
      </c>
      <c r="B1070" s="7" t="str">
        <f>HYPERLINK("https://twitter.com/caval100","@caval100")</f>
        <v>@caval100</v>
      </c>
      <c r="C1070" s="8" t="s">
        <v>72</v>
      </c>
      <c r="D1070" s="9" t="s">
        <v>3728</v>
      </c>
      <c r="E1070" s="10" t="str">
        <f>HYPERLINK("https://twitter.com/caval100/status/1070014876519686144","1070014876519686144")</f>
        <v>1070014876519686144</v>
      </c>
      <c r="F1070" s="11" t="s">
        <v>3729</v>
      </c>
      <c r="G1070" s="12"/>
      <c r="H1070" s="12"/>
      <c r="I1070" s="13">
        <v>0</v>
      </c>
      <c r="J1070" s="13">
        <v>0</v>
      </c>
      <c r="K1070" s="14" t="str">
        <f>HYPERLINK("https://about.twitter.com/products/tweetdeck","TweetDeck")</f>
        <v>TweetDeck</v>
      </c>
      <c r="L1070" s="13">
        <v>119344</v>
      </c>
      <c r="M1070" s="13">
        <v>94000</v>
      </c>
      <c r="N1070" s="13">
        <v>982</v>
      </c>
      <c r="O1070" s="15"/>
      <c r="P1070" s="6">
        <v>40079.437094907407</v>
      </c>
      <c r="Q1070" s="16" t="s">
        <v>75</v>
      </c>
      <c r="R1070" s="17" t="s">
        <v>76</v>
      </c>
      <c r="S1070" s="11" t="s">
        <v>77</v>
      </c>
      <c r="T1070" s="12"/>
      <c r="U1070" s="10" t="str">
        <f>HYPERLINK("https://pbs.twimg.com/profile_images/965350678301429760/uvGI7g8U.jpg","View")</f>
        <v>View</v>
      </c>
    </row>
    <row r="1071" spans="1:21" ht="40.799999999999997">
      <c r="A1071" s="6">
        <v>43438.788738425923</v>
      </c>
      <c r="B1071" s="7" t="str">
        <f>HYPERLINK("https://twitter.com/delahozm","@delahozm")</f>
        <v>@delahozm</v>
      </c>
      <c r="C1071" s="8" t="s">
        <v>3730</v>
      </c>
      <c r="D1071" s="9" t="s">
        <v>3731</v>
      </c>
      <c r="E1071" s="10" t="str">
        <f>HYPERLINK("https://twitter.com/delahozm/status/1070013812403785734","1070013812403785734")</f>
        <v>1070013812403785734</v>
      </c>
      <c r="F1071" s="12"/>
      <c r="G1071" s="12"/>
      <c r="H1071" s="12"/>
      <c r="I1071" s="13">
        <v>1</v>
      </c>
      <c r="J1071" s="13">
        <v>2</v>
      </c>
      <c r="K1071" s="14" t="str">
        <f>HYPERLINK("http://twitter.com/download/android","Twitter for Android")</f>
        <v>Twitter for Android</v>
      </c>
      <c r="L1071" s="13">
        <v>16455</v>
      </c>
      <c r="M1071" s="13">
        <v>1138</v>
      </c>
      <c r="N1071" s="13">
        <v>458</v>
      </c>
      <c r="O1071" s="19" t="s">
        <v>44</v>
      </c>
      <c r="P1071" s="6">
        <v>40703.555393518516</v>
      </c>
      <c r="Q1071" s="16" t="s">
        <v>572</v>
      </c>
      <c r="R1071" s="17" t="s">
        <v>3732</v>
      </c>
      <c r="S1071" s="11" t="s">
        <v>1566</v>
      </c>
      <c r="T1071" s="12"/>
      <c r="U1071" s="10" t="str">
        <f>HYPERLINK("https://pbs.twimg.com/profile_images/773949873167142913/wCQxjl2d.jpg","View")</f>
        <v>View</v>
      </c>
    </row>
    <row r="1072" spans="1:21" ht="13.2">
      <c r="A1072" s="6">
        <v>43438.787766203706</v>
      </c>
      <c r="B1072" s="7" t="str">
        <f>HYPERLINK("https://twitter.com/Ya_Es_Noticia","@Ya_Es_Noticia")</f>
        <v>@Ya_Es_Noticia</v>
      </c>
      <c r="C1072" s="8" t="s">
        <v>3733</v>
      </c>
      <c r="D1072" s="9" t="s">
        <v>2672</v>
      </c>
      <c r="E1072" s="10" t="str">
        <f>HYPERLINK("https://twitter.com/Ya_Es_Noticia/status/1070013458853244928","1070013458853244928")</f>
        <v>1070013458853244928</v>
      </c>
      <c r="F1072" s="11" t="s">
        <v>2719</v>
      </c>
      <c r="G1072" s="11" t="s">
        <v>3734</v>
      </c>
      <c r="H1072" s="12"/>
      <c r="I1072" s="13">
        <v>0</v>
      </c>
      <c r="J1072" s="13">
        <v>0</v>
      </c>
      <c r="K1072" s="14" t="str">
        <f>HYPERLINK("http://epmundo.com","Tuiteo TOP EP (3)")</f>
        <v>Tuiteo TOP EP (3)</v>
      </c>
      <c r="L1072" s="13">
        <v>14203</v>
      </c>
      <c r="M1072" s="13">
        <v>13688</v>
      </c>
      <c r="N1072" s="13">
        <v>70</v>
      </c>
      <c r="O1072" s="15"/>
      <c r="P1072" s="6">
        <v>42103.9455787037</v>
      </c>
      <c r="Q1072" s="12"/>
      <c r="R1072" s="17" t="s">
        <v>3735</v>
      </c>
      <c r="S1072" s="12"/>
      <c r="T1072" s="12"/>
      <c r="U1072" s="10" t="str">
        <f>HYPERLINK("https://pbs.twimg.com/profile_images/913478985295777792/GxT5RrjL.jpg","View")</f>
        <v>View</v>
      </c>
    </row>
    <row r="1073" spans="1:21" ht="20.399999999999999">
      <c r="A1073" s="6">
        <v>43438.784895833334</v>
      </c>
      <c r="B1073" s="7" t="str">
        <f>HYPERLINK("https://twitter.com/VidALieNs","@VidALieNs")</f>
        <v>@VidALieNs</v>
      </c>
      <c r="C1073" s="8" t="s">
        <v>3736</v>
      </c>
      <c r="D1073" s="9" t="s">
        <v>3737</v>
      </c>
      <c r="E1073" s="10" t="str">
        <f>HYPERLINK("https://twitter.com/VidALieNs/status/1070012421912387584","1070012421912387584")</f>
        <v>1070012421912387584</v>
      </c>
      <c r="F1073" s="12"/>
      <c r="G1073" s="12"/>
      <c r="H1073" s="12"/>
      <c r="I1073" s="13">
        <v>12</v>
      </c>
      <c r="J1073" s="13">
        <v>14</v>
      </c>
      <c r="K1073" s="14" t="str">
        <f>HYPERLINK("http://twitter.com/download/android","Twitter for Android")</f>
        <v>Twitter for Android</v>
      </c>
      <c r="L1073" s="13">
        <v>11624</v>
      </c>
      <c r="M1073" s="13">
        <v>9295</v>
      </c>
      <c r="N1073" s="13">
        <v>36</v>
      </c>
      <c r="O1073" s="15"/>
      <c r="P1073" s="6">
        <v>40767.610150462962</v>
      </c>
      <c r="Q1073" s="16" t="s">
        <v>524</v>
      </c>
      <c r="R1073" s="17" t="s">
        <v>3738</v>
      </c>
      <c r="S1073" s="12"/>
      <c r="T1073" s="12"/>
      <c r="U1073" s="10" t="str">
        <f>HYPERLINK("https://pbs.twimg.com/profile_images/979309252329263105/5-ln10Cs.jpg","View")</f>
        <v>View</v>
      </c>
    </row>
    <row r="1074" spans="1:21" ht="20.399999999999999">
      <c r="A1074" s="6">
        <v>43438.784178240741</v>
      </c>
      <c r="B1074" s="7" t="str">
        <f>HYPERLINK("https://twitter.com/marianofake","@marianofake")</f>
        <v>@marianofake</v>
      </c>
      <c r="C1074" s="8" t="s">
        <v>1715</v>
      </c>
      <c r="D1074" s="9" t="s">
        <v>3739</v>
      </c>
      <c r="E1074" s="10" t="str">
        <f>HYPERLINK("https://twitter.com/marianofake/status/1070012158962888706","1070012158962888706")</f>
        <v>1070012158962888706</v>
      </c>
      <c r="F1074" s="12"/>
      <c r="G1074" s="12"/>
      <c r="H1074" s="12"/>
      <c r="I1074" s="13">
        <v>0</v>
      </c>
      <c r="J1074" s="13">
        <v>2</v>
      </c>
      <c r="K1074" s="14" t="str">
        <f>HYPERLINK("https://mobile.twitter.com","Twitter Lite")</f>
        <v>Twitter Lite</v>
      </c>
      <c r="L1074" s="13">
        <v>6144</v>
      </c>
      <c r="M1074" s="13">
        <v>3153</v>
      </c>
      <c r="N1074" s="13">
        <v>19</v>
      </c>
      <c r="O1074" s="15"/>
      <c r="P1074" s="6">
        <v>42101.675752314812</v>
      </c>
      <c r="Q1074" s="12"/>
      <c r="R1074" s="17" t="s">
        <v>1721</v>
      </c>
      <c r="S1074" s="12"/>
      <c r="T1074" s="12"/>
      <c r="U1074" s="10" t="str">
        <f>HYPERLINK("https://pbs.twimg.com/profile_images/865123852795367424/p4pK2M21.jpg","View")</f>
        <v>View</v>
      </c>
    </row>
    <row r="1075" spans="1:21" ht="13.2">
      <c r="A1075" s="6">
        <v>43438.781828703708</v>
      </c>
      <c r="B1075" s="7" t="str">
        <f>HYPERLINK("https://twitter.com/NotiPicante","@NotiPicante")</f>
        <v>@NotiPicante</v>
      </c>
      <c r="C1075" s="8" t="s">
        <v>3347</v>
      </c>
      <c r="D1075" s="9" t="s">
        <v>2672</v>
      </c>
      <c r="E1075" s="10" t="str">
        <f>HYPERLINK("https://twitter.com/NotiPicante/status/1070011309528367106","1070011309528367106")</f>
        <v>1070011309528367106</v>
      </c>
      <c r="F1075" s="11" t="s">
        <v>2719</v>
      </c>
      <c r="G1075" s="11" t="s">
        <v>3740</v>
      </c>
      <c r="H1075" s="12"/>
      <c r="I1075" s="13">
        <v>0</v>
      </c>
      <c r="J1075" s="13">
        <v>0</v>
      </c>
      <c r="K1075" s="14" t="str">
        <f t="shared" ref="K1075:K1077" si="180">HYPERLINK("http://epmundo.com","Tuiteo TOP EP (3)")</f>
        <v>Tuiteo TOP EP (3)</v>
      </c>
      <c r="L1075" s="13">
        <v>24470</v>
      </c>
      <c r="M1075" s="13">
        <v>24659</v>
      </c>
      <c r="N1075" s="13">
        <v>63</v>
      </c>
      <c r="O1075" s="15"/>
      <c r="P1075" s="6">
        <v>42324.12436342593</v>
      </c>
      <c r="Q1075" s="12"/>
      <c r="R1075" s="17" t="s">
        <v>3349</v>
      </c>
      <c r="S1075" s="12"/>
      <c r="T1075" s="12"/>
      <c r="U1075" s="10" t="str">
        <f>HYPERLINK("https://pbs.twimg.com/profile_images/913473995177111552/dTJMr2fE.jpg","View")</f>
        <v>View</v>
      </c>
    </row>
    <row r="1076" spans="1:21" ht="20.399999999999999">
      <c r="A1076" s="6">
        <v>43438.781817129631</v>
      </c>
      <c r="B1076" s="7" t="str">
        <f>HYPERLINK("https://twitter.com/Cupcakes_News","@Cupcakes_News")</f>
        <v>@Cupcakes_News</v>
      </c>
      <c r="C1076" s="8" t="s">
        <v>3355</v>
      </c>
      <c r="D1076" s="9" t="s">
        <v>2672</v>
      </c>
      <c r="E1076" s="10" t="str">
        <f>HYPERLINK("https://twitter.com/Cupcakes_News/status/1070011302427406336","1070011302427406336")</f>
        <v>1070011302427406336</v>
      </c>
      <c r="F1076" s="11" t="s">
        <v>2719</v>
      </c>
      <c r="G1076" s="11" t="s">
        <v>3744</v>
      </c>
      <c r="H1076" s="12"/>
      <c r="I1076" s="13">
        <v>0</v>
      </c>
      <c r="J1076" s="13">
        <v>0</v>
      </c>
      <c r="K1076" s="14" t="str">
        <f t="shared" si="180"/>
        <v>Tuiteo TOP EP (3)</v>
      </c>
      <c r="L1076" s="13">
        <v>44510</v>
      </c>
      <c r="M1076" s="13">
        <v>45277</v>
      </c>
      <c r="N1076" s="13">
        <v>120</v>
      </c>
      <c r="O1076" s="15"/>
      <c r="P1076" s="6">
        <v>42165.118518518517</v>
      </c>
      <c r="Q1076" s="12"/>
      <c r="R1076" s="17" t="s">
        <v>3357</v>
      </c>
      <c r="S1076" s="12"/>
      <c r="T1076" s="12"/>
      <c r="U1076" s="10" t="str">
        <f>HYPERLINK("https://pbs.twimg.com/profile_images/913075190007025665/Ia12CA8o.jpg","View")</f>
        <v>View</v>
      </c>
    </row>
    <row r="1077" spans="1:21" ht="20.399999999999999">
      <c r="A1077" s="6">
        <v>43438.781793981485</v>
      </c>
      <c r="B1077" s="7" t="str">
        <f>HYPERLINK("https://twitter.com/SuperVeraz","@SuperVeraz")</f>
        <v>@SuperVeraz</v>
      </c>
      <c r="C1077" s="8" t="s">
        <v>3117</v>
      </c>
      <c r="D1077" s="9" t="s">
        <v>2672</v>
      </c>
      <c r="E1077" s="10" t="str">
        <f>HYPERLINK("https://twitter.com/SuperVeraz/status/1070011295624249346","1070011295624249346")</f>
        <v>1070011295624249346</v>
      </c>
      <c r="F1077" s="11" t="s">
        <v>2719</v>
      </c>
      <c r="G1077" s="11" t="s">
        <v>3745</v>
      </c>
      <c r="H1077" s="12"/>
      <c r="I1077" s="13">
        <v>0</v>
      </c>
      <c r="J1077" s="13">
        <v>0</v>
      </c>
      <c r="K1077" s="14" t="str">
        <f t="shared" si="180"/>
        <v>Tuiteo TOP EP (3)</v>
      </c>
      <c r="L1077" s="13">
        <v>25111</v>
      </c>
      <c r="M1077" s="13">
        <v>25017</v>
      </c>
      <c r="N1077" s="13">
        <v>36</v>
      </c>
      <c r="O1077" s="15"/>
      <c r="P1077" s="6">
        <v>42316.960196759261</v>
      </c>
      <c r="Q1077" s="12"/>
      <c r="R1077" s="17" t="s">
        <v>3119</v>
      </c>
      <c r="S1077" s="12"/>
      <c r="T1077" s="12"/>
      <c r="U1077" s="10" t="str">
        <f>HYPERLINK("https://pbs.twimg.com/profile_images/913065497314422785/YFj9YjjH.jpg","View")</f>
        <v>View</v>
      </c>
    </row>
    <row r="1078" spans="1:21" ht="20.399999999999999">
      <c r="A1078" s="6">
        <v>43438.778807870374</v>
      </c>
      <c r="B1078" s="7" t="str">
        <f>HYPERLINK("https://twitter.com/zonarockradio","@zonarockradio")</f>
        <v>@zonarockradio</v>
      </c>
      <c r="C1078" s="8" t="s">
        <v>3746</v>
      </c>
      <c r="D1078" s="9" t="s">
        <v>3608</v>
      </c>
      <c r="E1078" s="10" t="str">
        <f>HYPERLINK("https://twitter.com/zonarockradio/status/1070010213401542656","1070010213401542656")</f>
        <v>1070010213401542656</v>
      </c>
      <c r="F1078" s="11" t="s">
        <v>3609</v>
      </c>
      <c r="G1078" s="12"/>
      <c r="H1078" s="12"/>
      <c r="I1078" s="13">
        <v>0</v>
      </c>
      <c r="J1078" s="13">
        <v>0</v>
      </c>
      <c r="K1078" s="14" t="str">
        <f>HYPERLINK("http://www.facebook.com/twitter","Facebook")</f>
        <v>Facebook</v>
      </c>
      <c r="L1078" s="13">
        <v>772</v>
      </c>
      <c r="M1078" s="13">
        <v>1897</v>
      </c>
      <c r="N1078" s="13">
        <v>31</v>
      </c>
      <c r="O1078" s="15"/>
      <c r="P1078" s="6">
        <v>41716.450497685189</v>
      </c>
      <c r="Q1078" s="16" t="s">
        <v>3747</v>
      </c>
      <c r="R1078" s="20"/>
      <c r="S1078" s="12"/>
      <c r="T1078" s="12"/>
      <c r="U1078" s="10" t="str">
        <f>HYPERLINK("https://pbs.twimg.com/profile_images/448028546435280896/Lxz9IsXH.jpeg","View")</f>
        <v>View</v>
      </c>
    </row>
    <row r="1079" spans="1:21" ht="20.399999999999999">
      <c r="A1079" s="6">
        <v>43438.778113425928</v>
      </c>
      <c r="B1079" s="7" t="str">
        <f>HYPERLINK("https://twitter.com/bandolerochato","@bandolerochato")</f>
        <v>@bandolerochato</v>
      </c>
      <c r="C1079" s="8" t="s">
        <v>3748</v>
      </c>
      <c r="D1079" s="9" t="s">
        <v>3749</v>
      </c>
      <c r="E1079" s="10" t="str">
        <f>HYPERLINK("https://twitter.com/bandolerochato/status/1070009962632482816","1070009962632482816")</f>
        <v>1070009962632482816</v>
      </c>
      <c r="F1079" s="12"/>
      <c r="G1079" s="12"/>
      <c r="H1079" s="12"/>
      <c r="I1079" s="13">
        <v>0</v>
      </c>
      <c r="J1079" s="13">
        <v>0</v>
      </c>
      <c r="K1079" s="14" t="str">
        <f>HYPERLINK("http://twitter.com","Twitter Web Client")</f>
        <v>Twitter Web Client</v>
      </c>
      <c r="L1079" s="13">
        <v>647</v>
      </c>
      <c r="M1079" s="13">
        <v>1243</v>
      </c>
      <c r="N1079" s="13">
        <v>1</v>
      </c>
      <c r="O1079" s="15"/>
      <c r="P1079" s="6">
        <v>41331.786111111112</v>
      </c>
      <c r="Q1079" s="12"/>
      <c r="R1079" s="20"/>
      <c r="S1079" s="12"/>
      <c r="T1079" s="12"/>
      <c r="U1079" s="10" t="str">
        <f>HYPERLINK("https://pbs.twimg.com/profile_images/3311607511/c5d8c6c3cc019abcc10619ed8701dc16.jpeg","View")</f>
        <v>View</v>
      </c>
    </row>
    <row r="1080" spans="1:21" ht="20.399999999999999">
      <c r="A1080" s="6">
        <v>43438.778009259258</v>
      </c>
      <c r="B1080" s="7" t="str">
        <f>HYPERLINK("https://twitter.com/jytth1","@jytth1")</f>
        <v>@jytth1</v>
      </c>
      <c r="C1080" s="8" t="s">
        <v>3750</v>
      </c>
      <c r="D1080" s="9" t="s">
        <v>3751</v>
      </c>
      <c r="E1080" s="10" t="str">
        <f>HYPERLINK("https://twitter.com/jytth1/status/1070009923961057285","1070009923961057285")</f>
        <v>1070009923961057285</v>
      </c>
      <c r="F1080" s="16" t="s">
        <v>3752</v>
      </c>
      <c r="G1080" s="11" t="s">
        <v>3753</v>
      </c>
      <c r="H1080" s="12"/>
      <c r="I1080" s="13">
        <v>1</v>
      </c>
      <c r="J1080" s="13">
        <v>1</v>
      </c>
      <c r="K1080" s="14" t="str">
        <f>HYPERLINK("http://twitter.com/download/android","Twitter for Android")</f>
        <v>Twitter for Android</v>
      </c>
      <c r="L1080" s="13">
        <v>135</v>
      </c>
      <c r="M1080" s="13">
        <v>334</v>
      </c>
      <c r="N1080" s="13">
        <v>1</v>
      </c>
      <c r="O1080" s="15"/>
      <c r="P1080" s="6">
        <v>43345.64707175926</v>
      </c>
      <c r="Q1080" s="16" t="s">
        <v>587</v>
      </c>
      <c r="R1080" s="17" t="s">
        <v>3754</v>
      </c>
      <c r="S1080" s="12"/>
      <c r="T1080" s="12"/>
      <c r="U1080" s="10" t="str">
        <f>HYPERLINK("https://pbs.twimg.com/profile_images/1070454111345274882/Q_S35OPo.jpg","View")</f>
        <v>View</v>
      </c>
    </row>
    <row r="1081" spans="1:21" ht="40.799999999999997">
      <c r="A1081" s="6">
        <v>43438.777569444443</v>
      </c>
      <c r="B1081" s="7" t="str">
        <f>HYPERLINK("https://twitter.com/agrnineta","@agrnineta")</f>
        <v>@agrnineta</v>
      </c>
      <c r="C1081" s="8" t="s">
        <v>2920</v>
      </c>
      <c r="D1081" s="9" t="s">
        <v>2921</v>
      </c>
      <c r="E1081" s="10" t="str">
        <f>HYPERLINK("https://twitter.com/agrnineta/status/1070009767035396096","1070009767035396096")</f>
        <v>1070009767035396096</v>
      </c>
      <c r="F1081" s="11" t="s">
        <v>2922</v>
      </c>
      <c r="G1081" s="12"/>
      <c r="H1081" s="12"/>
      <c r="I1081" s="13">
        <v>0</v>
      </c>
      <c r="J1081" s="13">
        <v>0</v>
      </c>
      <c r="K1081" s="14" t="str">
        <f t="shared" ref="K1081:K1082" si="181">HYPERLINK("http://twitter.com","Twitter Web Client")</f>
        <v>Twitter Web Client</v>
      </c>
      <c r="L1081" s="13">
        <v>801</v>
      </c>
      <c r="M1081" s="13">
        <v>1829</v>
      </c>
      <c r="N1081" s="13">
        <v>27</v>
      </c>
      <c r="O1081" s="15"/>
      <c r="P1081" s="6">
        <v>40109.915231481486</v>
      </c>
      <c r="Q1081" s="12"/>
      <c r="R1081" s="17" t="s">
        <v>2923</v>
      </c>
      <c r="S1081" s="11" t="s">
        <v>2924</v>
      </c>
      <c r="T1081" s="12"/>
      <c r="U1081" s="10" t="str">
        <f>HYPERLINK("https://pbs.twimg.com/profile_images/855874546439684097/VYpF_Syb.jpg","View")</f>
        <v>View</v>
      </c>
    </row>
    <row r="1082" spans="1:21" ht="30.6">
      <c r="A1082" s="6">
        <v>43438.777337962965</v>
      </c>
      <c r="B1082" s="7" t="str">
        <f>HYPERLINK("https://twitter.com/fonky65","@fonky65")</f>
        <v>@fonky65</v>
      </c>
      <c r="C1082" s="8" t="s">
        <v>3755</v>
      </c>
      <c r="D1082" s="9" t="s">
        <v>3577</v>
      </c>
      <c r="E1082" s="10" t="str">
        <f>HYPERLINK("https://twitter.com/fonky65/status/1070009681609940993","1070009681609940993")</f>
        <v>1070009681609940993</v>
      </c>
      <c r="F1082" s="11" t="s">
        <v>3579</v>
      </c>
      <c r="G1082" s="12"/>
      <c r="H1082" s="12"/>
      <c r="I1082" s="13">
        <v>0</v>
      </c>
      <c r="J1082" s="13">
        <v>0</v>
      </c>
      <c r="K1082" s="14" t="str">
        <f t="shared" si="181"/>
        <v>Twitter Web Client</v>
      </c>
      <c r="L1082" s="13">
        <v>682</v>
      </c>
      <c r="M1082" s="13">
        <v>554</v>
      </c>
      <c r="N1082" s="13">
        <v>15</v>
      </c>
      <c r="O1082" s="15"/>
      <c r="P1082" s="6">
        <v>40780.875659722224</v>
      </c>
      <c r="Q1082" s="12"/>
      <c r="R1082" s="17" t="s">
        <v>3756</v>
      </c>
      <c r="S1082" s="12"/>
      <c r="T1082" s="12"/>
      <c r="U1082" s="10" t="str">
        <f>HYPERLINK("https://pbs.twimg.com/profile_images/985051760355168256/JM7krMgw.jpg","View")</f>
        <v>View</v>
      </c>
    </row>
    <row r="1083" spans="1:21" ht="30.6">
      <c r="A1083" s="6">
        <v>43438.776782407411</v>
      </c>
      <c r="B1083" s="7" t="str">
        <f>HYPERLINK("https://twitter.com/pilar51","@pilar51")</f>
        <v>@pilar51</v>
      </c>
      <c r="C1083" s="8" t="s">
        <v>3757</v>
      </c>
      <c r="D1083" s="9" t="s">
        <v>3758</v>
      </c>
      <c r="E1083" s="10" t="str">
        <f>HYPERLINK("https://twitter.com/pilar51/status/1070009480287526912","1070009480287526912")</f>
        <v>1070009480287526912</v>
      </c>
      <c r="F1083" s="11" t="s">
        <v>3759</v>
      </c>
      <c r="G1083" s="12"/>
      <c r="H1083" s="12"/>
      <c r="I1083" s="13">
        <v>0</v>
      </c>
      <c r="J1083" s="13">
        <v>0</v>
      </c>
      <c r="K1083" s="14" t="str">
        <f>HYPERLINK("http://twitter.com/#!/download/ipad","Twitter for iPad")</f>
        <v>Twitter for iPad</v>
      </c>
      <c r="L1083" s="13">
        <v>8902</v>
      </c>
      <c r="M1083" s="13">
        <v>7083</v>
      </c>
      <c r="N1083" s="13">
        <v>134</v>
      </c>
      <c r="O1083" s="15"/>
      <c r="P1083" s="6">
        <v>40388.492893518516</v>
      </c>
      <c r="Q1083" s="16" t="s">
        <v>3181</v>
      </c>
      <c r="R1083" s="17" t="s">
        <v>3760</v>
      </c>
      <c r="S1083" s="12"/>
      <c r="T1083" s="12"/>
      <c r="U1083" s="10" t="str">
        <f>HYPERLINK("https://pbs.twimg.com/profile_images/906082148528136193/X9QLljFF.jpg","View")</f>
        <v>View</v>
      </c>
    </row>
    <row r="1084" spans="1:21" ht="20.399999999999999">
      <c r="A1084" s="6">
        <v>43438.776701388888</v>
      </c>
      <c r="B1084" s="7" t="str">
        <f>HYPERLINK("https://twitter.com/hopedsy","@hopedsy")</f>
        <v>@hopedsy</v>
      </c>
      <c r="C1084" s="8" t="s">
        <v>3172</v>
      </c>
      <c r="D1084" s="9" t="s">
        <v>3427</v>
      </c>
      <c r="E1084" s="10" t="str">
        <f>HYPERLINK("https://twitter.com/hopedsy/status/1070009450671554560","1070009450671554560")</f>
        <v>1070009450671554560</v>
      </c>
      <c r="F1084" s="11" t="s">
        <v>3428</v>
      </c>
      <c r="G1084" s="12"/>
      <c r="H1084" s="12"/>
      <c r="I1084" s="13">
        <v>0</v>
      </c>
      <c r="J1084" s="13">
        <v>0</v>
      </c>
      <c r="K1084" s="14" t="str">
        <f>HYPERLINK("http://twitter.com/download/android","Twitter for Android")</f>
        <v>Twitter for Android</v>
      </c>
      <c r="L1084" s="13">
        <v>407</v>
      </c>
      <c r="M1084" s="13">
        <v>569</v>
      </c>
      <c r="N1084" s="13">
        <v>15</v>
      </c>
      <c r="O1084" s="15"/>
      <c r="P1084" s="6">
        <v>42568.50172453704</v>
      </c>
      <c r="Q1084" s="12"/>
      <c r="R1084" s="17" t="s">
        <v>3173</v>
      </c>
      <c r="S1084" s="12"/>
      <c r="T1084" s="12"/>
      <c r="U1084" s="10" t="str">
        <f>HYPERLINK("https://pbs.twimg.com/profile_images/814237291229147136/bJPBbvoq.jpg","View")</f>
        <v>View</v>
      </c>
    </row>
    <row r="1085" spans="1:21" ht="20.399999999999999">
      <c r="A1085" s="6">
        <v>43438.775787037041</v>
      </c>
      <c r="B1085" s="7" t="str">
        <f>HYPERLINK("https://twitter.com/EP_Espana_","@EP_Espana_")</f>
        <v>@EP_Espana_</v>
      </c>
      <c r="C1085" s="8" t="s">
        <v>3383</v>
      </c>
      <c r="D1085" s="9" t="s">
        <v>3384</v>
      </c>
      <c r="E1085" s="10" t="str">
        <f>HYPERLINK("https://twitter.com/EP_Espana_/status/1070009118860214274","1070009118860214274")</f>
        <v>1070009118860214274</v>
      </c>
      <c r="F1085" s="11" t="s">
        <v>2719</v>
      </c>
      <c r="G1085" s="11" t="s">
        <v>3761</v>
      </c>
      <c r="H1085" s="12"/>
      <c r="I1085" s="13">
        <v>0</v>
      </c>
      <c r="J1085" s="13">
        <v>0</v>
      </c>
      <c r="K1085" s="14" t="str">
        <f>HYPERLINK("http://epmundo.com","Tuiteo TOP EP (3)")</f>
        <v>Tuiteo TOP EP (3)</v>
      </c>
      <c r="L1085" s="13">
        <v>19163</v>
      </c>
      <c r="M1085" s="13">
        <v>18912</v>
      </c>
      <c r="N1085" s="13">
        <v>86</v>
      </c>
      <c r="O1085" s="15"/>
      <c r="P1085" s="6">
        <v>42074.115219907406</v>
      </c>
      <c r="Q1085" s="16" t="s">
        <v>48</v>
      </c>
      <c r="R1085" s="17" t="s">
        <v>3387</v>
      </c>
      <c r="S1085" s="11" t="s">
        <v>3388</v>
      </c>
      <c r="T1085" s="12"/>
      <c r="U1085" s="10" t="str">
        <f>HYPERLINK("https://pbs.twimg.com/profile_images/958330076885643264/bnAGi_iy.jpg","View")</f>
        <v>View</v>
      </c>
    </row>
    <row r="1086" spans="1:21" ht="40.799999999999997">
      <c r="A1086" s="6">
        <v>43438.770833333328</v>
      </c>
      <c r="B1086" s="7" t="str">
        <f>HYPERLINK("https://twitter.com/El_Plural","@El_Plural")</f>
        <v>@El_Plural</v>
      </c>
      <c r="C1086" s="8" t="s">
        <v>507</v>
      </c>
      <c r="D1086" s="9" t="s">
        <v>3762</v>
      </c>
      <c r="E1086" s="10" t="str">
        <f>HYPERLINK("https://twitter.com/El_Plural/status/1070007324243181568","1070007324243181568")</f>
        <v>1070007324243181568</v>
      </c>
      <c r="F1086" s="11" t="s">
        <v>3763</v>
      </c>
      <c r="G1086" s="12"/>
      <c r="H1086" s="12"/>
      <c r="I1086" s="13">
        <v>5</v>
      </c>
      <c r="J1086" s="13">
        <v>0</v>
      </c>
      <c r="K1086" s="14" t="str">
        <f>HYPERLINK("https://about.twitter.com/products/tweetdeck","TweetDeck")</f>
        <v>TweetDeck</v>
      </c>
      <c r="L1086" s="13">
        <v>72031</v>
      </c>
      <c r="M1086" s="13">
        <v>1650</v>
      </c>
      <c r="N1086" s="13">
        <v>2018</v>
      </c>
      <c r="O1086" s="15"/>
      <c r="P1086" s="6">
        <v>40351.51053240741</v>
      </c>
      <c r="Q1086" s="16" t="s">
        <v>48</v>
      </c>
      <c r="R1086" s="17" t="s">
        <v>510</v>
      </c>
      <c r="S1086" s="11" t="s">
        <v>511</v>
      </c>
      <c r="T1086" s="12"/>
      <c r="U1086" s="10" t="str">
        <f>HYPERLINK("https://pbs.twimg.com/profile_images/1017707018138857473/kUt8X2tn.jpg","View")</f>
        <v>View</v>
      </c>
    </row>
    <row r="1087" spans="1:21" ht="30.6">
      <c r="A1087" s="6">
        <v>43438.769918981481</v>
      </c>
      <c r="B1087" s="7" t="str">
        <f>HYPERLINK("https://twitter.com/periodicovzlano","@periodicovzlano")</f>
        <v>@periodicovzlano</v>
      </c>
      <c r="C1087" s="8" t="s">
        <v>2671</v>
      </c>
      <c r="D1087" s="9" t="s">
        <v>2672</v>
      </c>
      <c r="E1087" s="10" t="str">
        <f>HYPERLINK("https://twitter.com/periodicovzlano/status/1070006994625531905","1070006994625531905")</f>
        <v>1070006994625531905</v>
      </c>
      <c r="F1087" s="11" t="s">
        <v>2673</v>
      </c>
      <c r="G1087" s="11" t="s">
        <v>3764</v>
      </c>
      <c r="H1087" s="12"/>
      <c r="I1087" s="13">
        <v>0</v>
      </c>
      <c r="J1087" s="13">
        <v>0</v>
      </c>
      <c r="K1087" s="14" t="str">
        <f>HYPERLINK("http://epmundo.com","Tuiteo TOP EP (1)")</f>
        <v>Tuiteo TOP EP (1)</v>
      </c>
      <c r="L1087" s="13">
        <v>479694</v>
      </c>
      <c r="M1087" s="13">
        <v>358804</v>
      </c>
      <c r="N1087" s="13">
        <v>1295</v>
      </c>
      <c r="O1087" s="15"/>
      <c r="P1087" s="6">
        <v>40663.3512962963</v>
      </c>
      <c r="Q1087" s="16" t="s">
        <v>861</v>
      </c>
      <c r="R1087" s="17" t="s">
        <v>2675</v>
      </c>
      <c r="S1087" s="11" t="s">
        <v>2676</v>
      </c>
      <c r="T1087" s="12"/>
      <c r="U1087" s="10" t="str">
        <f>HYPERLINK("https://pbs.twimg.com/profile_images/958328579250638849/MCz7Q8U6.jpg","View")</f>
        <v>View</v>
      </c>
    </row>
    <row r="1088" spans="1:21" ht="20.399999999999999">
      <c r="A1088" s="6">
        <v>43438.769895833335</v>
      </c>
      <c r="B1088" s="7" t="str">
        <f>HYPERLINK("https://twitter.com/NotiAdictos","@NotiAdictos")</f>
        <v>@NotiAdictos</v>
      </c>
      <c r="C1088" s="8" t="s">
        <v>3496</v>
      </c>
      <c r="D1088" s="9" t="s">
        <v>2672</v>
      </c>
      <c r="E1088" s="10" t="str">
        <f>HYPERLINK("https://twitter.com/NotiAdictos/status/1070006984622202881","1070006984622202881")</f>
        <v>1070006984622202881</v>
      </c>
      <c r="F1088" s="11" t="s">
        <v>2719</v>
      </c>
      <c r="G1088" s="11" t="s">
        <v>3765</v>
      </c>
      <c r="H1088" s="12"/>
      <c r="I1088" s="13">
        <v>0</v>
      </c>
      <c r="J1088" s="13">
        <v>0</v>
      </c>
      <c r="K1088" s="14" t="str">
        <f>HYPERLINK("http://epmundo.com","Tuiteo TOP EP (3)")</f>
        <v>Tuiteo TOP EP (3)</v>
      </c>
      <c r="L1088" s="13">
        <v>51774</v>
      </c>
      <c r="M1088" s="13">
        <v>52978</v>
      </c>
      <c r="N1088" s="13">
        <v>133</v>
      </c>
      <c r="O1088" s="15"/>
      <c r="P1088" s="6">
        <v>42166.14534722222</v>
      </c>
      <c r="Q1088" s="12"/>
      <c r="R1088" s="17" t="s">
        <v>3498</v>
      </c>
      <c r="S1088" s="12"/>
      <c r="T1088" s="12"/>
      <c r="U1088" s="10" t="str">
        <f>HYPERLINK("https://pbs.twimg.com/profile_images/913079381358243842/XvuFiomi.jpg","View")</f>
        <v>View</v>
      </c>
    </row>
    <row r="1089" spans="1:21" ht="30.6">
      <c r="A1089" s="6">
        <v>43438.764097222222</v>
      </c>
      <c r="B1089" s="7" t="str">
        <f>HYPERLINK("https://twitter.com/TeresaTeresa40","@TeresaTeresa40")</f>
        <v>@TeresaTeresa40</v>
      </c>
      <c r="C1089" s="8" t="s">
        <v>3766</v>
      </c>
      <c r="D1089" s="9" t="s">
        <v>3767</v>
      </c>
      <c r="E1089" s="10" t="str">
        <f>HYPERLINK("https://twitter.com/TeresaTeresa40/status/1070004884676730881","1070004884676730881")</f>
        <v>1070004884676730881</v>
      </c>
      <c r="F1089" s="11" t="s">
        <v>3768</v>
      </c>
      <c r="G1089" s="12"/>
      <c r="H1089" s="12"/>
      <c r="I1089" s="13">
        <v>0</v>
      </c>
      <c r="J1089" s="13">
        <v>0</v>
      </c>
      <c r="K1089" s="14" t="str">
        <f>HYPERLINK("http://twitter.com/download/iphone","Twitter for iPhone")</f>
        <v>Twitter for iPhone</v>
      </c>
      <c r="L1089" s="13">
        <v>46</v>
      </c>
      <c r="M1089" s="13">
        <v>141</v>
      </c>
      <c r="N1089" s="13">
        <v>1</v>
      </c>
      <c r="O1089" s="15"/>
      <c r="P1089" s="6">
        <v>41127.884085648147</v>
      </c>
      <c r="Q1089" s="12"/>
      <c r="R1089" s="17" t="s">
        <v>3769</v>
      </c>
      <c r="S1089" s="12"/>
      <c r="T1089" s="12"/>
      <c r="U1089" s="10" t="str">
        <f>HYPERLINK("https://pbs.twimg.com/profile_images/2475904284/Picture_6.jpg","View")</f>
        <v>View</v>
      </c>
    </row>
    <row r="1090" spans="1:21" ht="13.2">
      <c r="A1090" s="6">
        <v>43438.763807870375</v>
      </c>
      <c r="B1090" s="7" t="str">
        <f>HYPERLINK("https://twitter.com/Ya_Es_Noticia","@Ya_Es_Noticia")</f>
        <v>@Ya_Es_Noticia</v>
      </c>
      <c r="C1090" s="8" t="s">
        <v>3733</v>
      </c>
      <c r="D1090" s="9" t="s">
        <v>2672</v>
      </c>
      <c r="E1090" s="10" t="str">
        <f>HYPERLINK("https://twitter.com/Ya_Es_Noticia/status/1070004776992169986","1070004776992169986")</f>
        <v>1070004776992169986</v>
      </c>
      <c r="F1090" s="11" t="s">
        <v>2719</v>
      </c>
      <c r="G1090" s="11" t="s">
        <v>3770</v>
      </c>
      <c r="H1090" s="12"/>
      <c r="I1090" s="13">
        <v>1</v>
      </c>
      <c r="J1090" s="13">
        <v>1</v>
      </c>
      <c r="K1090" s="14" t="str">
        <f>HYPERLINK("http://epmundo.com","Tuiteo TOP EP (3)")</f>
        <v>Tuiteo TOP EP (3)</v>
      </c>
      <c r="L1090" s="13">
        <v>14203</v>
      </c>
      <c r="M1090" s="13">
        <v>13688</v>
      </c>
      <c r="N1090" s="13">
        <v>70</v>
      </c>
      <c r="O1090" s="15"/>
      <c r="P1090" s="6">
        <v>42103.9455787037</v>
      </c>
      <c r="Q1090" s="12"/>
      <c r="R1090" s="17" t="s">
        <v>3735</v>
      </c>
      <c r="S1090" s="12"/>
      <c r="T1090" s="12"/>
      <c r="U1090" s="10" t="str">
        <f>HYPERLINK("https://pbs.twimg.com/profile_images/913478985295777792/GxT5RrjL.jpg","View")</f>
        <v>View</v>
      </c>
    </row>
    <row r="1091" spans="1:21" ht="13.2">
      <c r="A1091" s="6">
        <v>43438.758877314816</v>
      </c>
      <c r="B1091" s="7" t="str">
        <f>HYPERLINK("https://twitter.com/MARIURUFINO","@MARIURUFINO")</f>
        <v>@MARIURUFINO</v>
      </c>
      <c r="C1091" s="8" t="s">
        <v>3771</v>
      </c>
      <c r="D1091" s="9" t="s">
        <v>3772</v>
      </c>
      <c r="E1091" s="10" t="str">
        <f>HYPERLINK("https://twitter.com/MARIURUFINO/status/1070002990369656832","1070002990369656832")</f>
        <v>1070002990369656832</v>
      </c>
      <c r="F1091" s="11" t="s">
        <v>3773</v>
      </c>
      <c r="G1091" s="12"/>
      <c r="H1091" s="12"/>
      <c r="I1091" s="13">
        <v>0</v>
      </c>
      <c r="J1091" s="13">
        <v>1</v>
      </c>
      <c r="K1091" s="14" t="str">
        <f>HYPERLINK("http://twitter.com/download/android","Twitter for Android")</f>
        <v>Twitter for Android</v>
      </c>
      <c r="L1091" s="13">
        <v>1115</v>
      </c>
      <c r="M1091" s="13">
        <v>1551</v>
      </c>
      <c r="N1091" s="13">
        <v>14</v>
      </c>
      <c r="O1091" s="15"/>
      <c r="P1091" s="6">
        <v>40067.541921296295</v>
      </c>
      <c r="Q1091" s="16" t="s">
        <v>3774</v>
      </c>
      <c r="R1091" s="17" t="s">
        <v>3775</v>
      </c>
      <c r="S1091" s="12"/>
      <c r="T1091" s="12"/>
      <c r="U1091" s="10" t="str">
        <f>HYPERLINK("https://pbs.twimg.com/profile_images/598905541839159296/IKLY3QCi.jpg","View")</f>
        <v>View</v>
      </c>
    </row>
    <row r="1092" spans="1:21" ht="20.399999999999999">
      <c r="A1092" s="6">
        <v>43438.758773148147</v>
      </c>
      <c r="B1092" s="7" t="str">
        <f>HYPERLINK("https://twitter.com/MJArtuch","@MJArtuch")</f>
        <v>@MJArtuch</v>
      </c>
      <c r="C1092" s="8" t="s">
        <v>3776</v>
      </c>
      <c r="D1092" s="9" t="s">
        <v>3777</v>
      </c>
      <c r="E1092" s="10" t="str">
        <f>HYPERLINK("https://twitter.com/MJArtuch/status/1070002954340626432","1070002954340626432")</f>
        <v>1070002954340626432</v>
      </c>
      <c r="F1092" s="11" t="s">
        <v>3778</v>
      </c>
      <c r="G1092" s="12"/>
      <c r="H1092" s="12"/>
      <c r="I1092" s="13">
        <v>0</v>
      </c>
      <c r="J1092" s="13">
        <v>0</v>
      </c>
      <c r="K1092" s="14" t="str">
        <f>HYPERLINK("http://twitter.com","Twitter Web Client")</f>
        <v>Twitter Web Client</v>
      </c>
      <c r="L1092" s="13">
        <v>571</v>
      </c>
      <c r="M1092" s="13">
        <v>528</v>
      </c>
      <c r="N1092" s="13">
        <v>34</v>
      </c>
      <c r="O1092" s="15"/>
      <c r="P1092" s="6">
        <v>40695.674097222218</v>
      </c>
      <c r="Q1092" s="16" t="s">
        <v>48</v>
      </c>
      <c r="R1092" s="17" t="s">
        <v>3779</v>
      </c>
      <c r="S1092" s="12"/>
      <c r="T1092" s="12"/>
      <c r="U1092" s="10" t="str">
        <f>HYPERLINK("https://pbs.twimg.com/profile_images/492318600686882816/GckHJNrH.jpeg","View")</f>
        <v>View</v>
      </c>
    </row>
    <row r="1093" spans="1:21" ht="51">
      <c r="A1093" s="6">
        <v>43438.758009259254</v>
      </c>
      <c r="B1093" s="7" t="str">
        <f>HYPERLINK("https://twitter.com/bpberta","@bpberta")</f>
        <v>@bpberta</v>
      </c>
      <c r="C1093" s="8" t="s">
        <v>3780</v>
      </c>
      <c r="D1093" s="9" t="s">
        <v>3781</v>
      </c>
      <c r="E1093" s="10" t="str">
        <f>HYPERLINK("https://twitter.com/bpberta/status/1070002676178583557","1070002676178583557")</f>
        <v>1070002676178583557</v>
      </c>
      <c r="F1093" s="12"/>
      <c r="G1093" s="12"/>
      <c r="H1093" s="12"/>
      <c r="I1093" s="13">
        <v>5</v>
      </c>
      <c r="J1093" s="13">
        <v>29</v>
      </c>
      <c r="K1093" s="14" t="str">
        <f>HYPERLINK("http://twitter.com/download/android","Twitter for Android")</f>
        <v>Twitter for Android</v>
      </c>
      <c r="L1093" s="13">
        <v>9526</v>
      </c>
      <c r="M1093" s="13">
        <v>1150</v>
      </c>
      <c r="N1093" s="13">
        <v>272</v>
      </c>
      <c r="O1093" s="15"/>
      <c r="P1093" s="6">
        <v>40209.676145833335</v>
      </c>
      <c r="Q1093" s="12"/>
      <c r="R1093" s="17" t="s">
        <v>3782</v>
      </c>
      <c r="S1093" s="12"/>
      <c r="T1093" s="12"/>
      <c r="U1093" s="10" t="str">
        <f>HYPERLINK("https://pbs.twimg.com/profile_images/987705790940278787/o8y11w7t.jpg","View")</f>
        <v>View</v>
      </c>
    </row>
    <row r="1094" spans="1:21" ht="20.399999999999999">
      <c r="A1094" s="6">
        <v>43438.757650462961</v>
      </c>
      <c r="B1094" s="7" t="str">
        <f>HYPERLINK("https://twitter.com/EP_Mundo","@EP_Mundo")</f>
        <v>@EP_Mundo</v>
      </c>
      <c r="C1094" s="8" t="s">
        <v>2762</v>
      </c>
      <c r="D1094" s="9" t="s">
        <v>2718</v>
      </c>
      <c r="E1094" s="10" t="str">
        <f>HYPERLINK("https://twitter.com/EP_Mundo/status/1070002545773502464","1070002545773502464")</f>
        <v>1070002545773502464</v>
      </c>
      <c r="F1094" s="11" t="s">
        <v>2673</v>
      </c>
      <c r="G1094" s="11" t="s">
        <v>3783</v>
      </c>
      <c r="H1094" s="12"/>
      <c r="I1094" s="13">
        <v>0</v>
      </c>
      <c r="J1094" s="13">
        <v>0</v>
      </c>
      <c r="K1094" s="14" t="str">
        <f>HYPERLINK("http://epmundo.com","Tuiteo TOP EP (2)")</f>
        <v>Tuiteo TOP EP (2)</v>
      </c>
      <c r="L1094" s="13">
        <v>510219</v>
      </c>
      <c r="M1094" s="13">
        <v>301867</v>
      </c>
      <c r="N1094" s="13">
        <v>1363</v>
      </c>
      <c r="O1094" s="15"/>
      <c r="P1094" s="6">
        <v>40203.223078703704</v>
      </c>
      <c r="Q1094" s="12"/>
      <c r="R1094" s="17" t="s">
        <v>2764</v>
      </c>
      <c r="S1094" s="11" t="s">
        <v>2765</v>
      </c>
      <c r="T1094" s="12"/>
      <c r="U1094" s="10" t="str">
        <f>HYPERLINK("https://pbs.twimg.com/profile_images/958329583778099200/87-xiuzB.jpg","View")</f>
        <v>View</v>
      </c>
    </row>
    <row r="1095" spans="1:21" ht="51">
      <c r="A1095" s="6">
        <v>43438.756886574076</v>
      </c>
      <c r="B1095" s="7" t="str">
        <f>HYPERLINK("https://twitter.com/caval100","@caval100")</f>
        <v>@caval100</v>
      </c>
      <c r="C1095" s="8" t="s">
        <v>72</v>
      </c>
      <c r="D1095" s="9" t="s">
        <v>3784</v>
      </c>
      <c r="E1095" s="10" t="str">
        <f>HYPERLINK("https://twitter.com/caval100/status/1070002271763791872","1070002271763791872")</f>
        <v>1070002271763791872</v>
      </c>
      <c r="F1095" s="11" t="s">
        <v>546</v>
      </c>
      <c r="G1095" s="12"/>
      <c r="H1095" s="12"/>
      <c r="I1095" s="13">
        <v>2</v>
      </c>
      <c r="J1095" s="13">
        <v>2</v>
      </c>
      <c r="K1095" s="14" t="str">
        <f t="shared" ref="K1095:K1096" si="182">HYPERLINK("http://twitter.com","Twitter Web Client")</f>
        <v>Twitter Web Client</v>
      </c>
      <c r="L1095" s="13">
        <v>119344</v>
      </c>
      <c r="M1095" s="13">
        <v>94000</v>
      </c>
      <c r="N1095" s="13">
        <v>982</v>
      </c>
      <c r="O1095" s="15"/>
      <c r="P1095" s="6">
        <v>40079.437094907407</v>
      </c>
      <c r="Q1095" s="16" t="s">
        <v>75</v>
      </c>
      <c r="R1095" s="17" t="s">
        <v>76</v>
      </c>
      <c r="S1095" s="11" t="s">
        <v>77</v>
      </c>
      <c r="T1095" s="12"/>
      <c r="U1095" s="10" t="str">
        <f>HYPERLINK("https://pbs.twimg.com/profile_images/965350678301429760/uvGI7g8U.jpg","View")</f>
        <v>View</v>
      </c>
    </row>
    <row r="1096" spans="1:21" ht="30.6">
      <c r="A1096" s="6">
        <v>43438.756469907406</v>
      </c>
      <c r="B1096" s="7" t="str">
        <f>HYPERLINK("https://twitter.com/m_gonzalezgcia","@m_gonzalezgcia")</f>
        <v>@m_gonzalezgcia</v>
      </c>
      <c r="C1096" s="8" t="s">
        <v>3785</v>
      </c>
      <c r="D1096" s="9" t="s">
        <v>3786</v>
      </c>
      <c r="E1096" s="10" t="str">
        <f>HYPERLINK("https://twitter.com/m_gonzalezgcia/status/1070002117174353925","1070002117174353925")</f>
        <v>1070002117174353925</v>
      </c>
      <c r="F1096" s="11" t="s">
        <v>3787</v>
      </c>
      <c r="G1096" s="12"/>
      <c r="H1096" s="12"/>
      <c r="I1096" s="13">
        <v>0</v>
      </c>
      <c r="J1096" s="13">
        <v>0</v>
      </c>
      <c r="K1096" s="14" t="str">
        <f t="shared" si="182"/>
        <v>Twitter Web Client</v>
      </c>
      <c r="L1096" s="13">
        <v>1338</v>
      </c>
      <c r="M1096" s="13">
        <v>413</v>
      </c>
      <c r="N1096" s="13">
        <v>31</v>
      </c>
      <c r="O1096" s="15"/>
      <c r="P1096" s="6">
        <v>40476.843819444446</v>
      </c>
      <c r="Q1096" s="12"/>
      <c r="R1096" s="17" t="s">
        <v>3788</v>
      </c>
      <c r="S1096" s="11" t="s">
        <v>3789</v>
      </c>
      <c r="T1096" s="12"/>
      <c r="U1096" s="10" t="str">
        <f>HYPERLINK("https://pbs.twimg.com/profile_images/503815330733367296/SpnURHEe.jpeg","View")</f>
        <v>View</v>
      </c>
    </row>
    <row r="1097" spans="1:21" ht="20.399999999999999">
      <c r="A1097" s="6">
        <v>43438.754560185189</v>
      </c>
      <c r="B1097" s="7" t="str">
        <f>HYPERLINK("https://twitter.com/NoticiasVenezue","@NoticiasVenezue")</f>
        <v>@NoticiasVenezue</v>
      </c>
      <c r="C1097" s="8" t="s">
        <v>3644</v>
      </c>
      <c r="D1097" s="9" t="s">
        <v>2672</v>
      </c>
      <c r="E1097" s="10" t="str">
        <f>HYPERLINK("https://twitter.com/NoticiasVenezue/status/1070001428251332609","1070001428251332609")</f>
        <v>1070001428251332609</v>
      </c>
      <c r="F1097" s="11" t="s">
        <v>3790</v>
      </c>
      <c r="G1097" s="12"/>
      <c r="H1097" s="12"/>
      <c r="I1097" s="13">
        <v>3</v>
      </c>
      <c r="J1097" s="13">
        <v>2</v>
      </c>
      <c r="K1097" s="14" t="str">
        <f t="shared" ref="K1097:K1098" si="183">HYPERLINK("http://publicize.wp.com/","WordPress.com")</f>
        <v>WordPress.com</v>
      </c>
      <c r="L1097" s="13">
        <v>849967</v>
      </c>
      <c r="M1097" s="13">
        <v>107845</v>
      </c>
      <c r="N1097" s="13">
        <v>4005</v>
      </c>
      <c r="O1097" s="19" t="s">
        <v>44</v>
      </c>
      <c r="P1097" s="6">
        <v>39960.368576388893</v>
      </c>
      <c r="Q1097" s="16" t="s">
        <v>3648</v>
      </c>
      <c r="R1097" s="17" t="s">
        <v>3649</v>
      </c>
      <c r="S1097" s="11" t="s">
        <v>3650</v>
      </c>
      <c r="T1097" s="12"/>
      <c r="U1097" s="10" t="str">
        <f>HYPERLINK("https://pbs.twimg.com/profile_images/1051102549061849088/xDOWgbtI.jpg","View")</f>
        <v>View</v>
      </c>
    </row>
    <row r="1098" spans="1:21" ht="13.2">
      <c r="A1098" s="6">
        <v>43438.754548611112</v>
      </c>
      <c r="B1098" s="7" t="str">
        <f>HYPERLINK("https://twitter.com/NoticiasVzla","@NoticiasVzla")</f>
        <v>@NoticiasVzla</v>
      </c>
      <c r="C1098" s="8" t="s">
        <v>3791</v>
      </c>
      <c r="D1098" s="9" t="s">
        <v>2672</v>
      </c>
      <c r="E1098" s="10" t="str">
        <f>HYPERLINK("https://twitter.com/NoticiasVzla/status/1070001424182861824","1070001424182861824")</f>
        <v>1070001424182861824</v>
      </c>
      <c r="F1098" s="11" t="s">
        <v>3790</v>
      </c>
      <c r="G1098" s="12"/>
      <c r="H1098" s="12"/>
      <c r="I1098" s="13">
        <v>0</v>
      </c>
      <c r="J1098" s="13">
        <v>0</v>
      </c>
      <c r="K1098" s="14" t="str">
        <f t="shared" si="183"/>
        <v>WordPress.com</v>
      </c>
      <c r="L1098" s="13">
        <v>18496</v>
      </c>
      <c r="M1098" s="13">
        <v>7267</v>
      </c>
      <c r="N1098" s="13">
        <v>234</v>
      </c>
      <c r="O1098" s="15"/>
      <c r="P1098" s="6">
        <v>40087.459282407406</v>
      </c>
      <c r="Q1098" s="16" t="s">
        <v>3648</v>
      </c>
      <c r="R1098" s="17" t="s">
        <v>3792</v>
      </c>
      <c r="S1098" s="11" t="s">
        <v>3793</v>
      </c>
      <c r="T1098" s="12"/>
      <c r="U1098" s="10" t="str">
        <f>HYPERLINK("https://pbs.twimg.com/profile_images/1051095644033703938/lUdD2IM9.jpg","View")</f>
        <v>View</v>
      </c>
    </row>
    <row r="1099" spans="1:21" ht="40.799999999999997">
      <c r="A1099" s="6">
        <v>43438.753981481481</v>
      </c>
      <c r="B1099" s="7" t="str">
        <f>HYPERLINK("https://twitter.com/caval100","@caval100")</f>
        <v>@caval100</v>
      </c>
      <c r="C1099" s="8" t="s">
        <v>72</v>
      </c>
      <c r="D1099" s="9" t="s">
        <v>73</v>
      </c>
      <c r="E1099" s="10" t="str">
        <f>HYPERLINK("https://twitter.com/caval100/status/1070001216128774144","1070001216128774144")</f>
        <v>1070001216128774144</v>
      </c>
      <c r="F1099" s="11" t="s">
        <v>74</v>
      </c>
      <c r="G1099" s="12"/>
      <c r="H1099" s="12"/>
      <c r="I1099" s="13">
        <v>3</v>
      </c>
      <c r="J1099" s="13">
        <v>0</v>
      </c>
      <c r="K1099" s="14" t="str">
        <f t="shared" ref="K1099:K1100" si="184">HYPERLINK("http://twitter.com","Twitter Web Client")</f>
        <v>Twitter Web Client</v>
      </c>
      <c r="L1099" s="13">
        <v>119344</v>
      </c>
      <c r="M1099" s="13">
        <v>94000</v>
      </c>
      <c r="N1099" s="13">
        <v>982</v>
      </c>
      <c r="O1099" s="15"/>
      <c r="P1099" s="6">
        <v>40079.437094907407</v>
      </c>
      <c r="Q1099" s="16" t="s">
        <v>75</v>
      </c>
      <c r="R1099" s="17" t="s">
        <v>76</v>
      </c>
      <c r="S1099" s="11" t="s">
        <v>77</v>
      </c>
      <c r="T1099" s="12"/>
      <c r="U1099" s="10" t="str">
        <f>HYPERLINK("https://pbs.twimg.com/profile_images/965350678301429760/uvGI7g8U.jpg","View")</f>
        <v>View</v>
      </c>
    </row>
    <row r="1100" spans="1:21" ht="20.399999999999999">
      <c r="A1100" s="6">
        <v>43438.752476851849</v>
      </c>
      <c r="B1100" s="7" t="str">
        <f>HYPERLINK("https://twitter.com/ni1dea","@ni1dea")</f>
        <v>@ni1dea</v>
      </c>
      <c r="C1100" s="8" t="s">
        <v>3794</v>
      </c>
      <c r="D1100" s="9" t="s">
        <v>3795</v>
      </c>
      <c r="E1100" s="10" t="str">
        <f>HYPERLINK("https://twitter.com/ni1dea/status/1070000672463048709","1070000672463048709")</f>
        <v>1070000672463048709</v>
      </c>
      <c r="F1100" s="11" t="s">
        <v>2922</v>
      </c>
      <c r="G1100" s="12"/>
      <c r="H1100" s="12"/>
      <c r="I1100" s="13">
        <v>0</v>
      </c>
      <c r="J1100" s="13">
        <v>0</v>
      </c>
      <c r="K1100" s="14" t="str">
        <f t="shared" si="184"/>
        <v>Twitter Web Client</v>
      </c>
      <c r="L1100" s="13">
        <v>1858</v>
      </c>
      <c r="M1100" s="13">
        <v>1844</v>
      </c>
      <c r="N1100" s="13">
        <v>15</v>
      </c>
      <c r="O1100" s="15"/>
      <c r="P1100" s="6">
        <v>40334.322696759264</v>
      </c>
      <c r="Q1100" s="12"/>
      <c r="R1100" s="17" t="s">
        <v>3796</v>
      </c>
      <c r="S1100" s="12"/>
      <c r="T1100" s="12"/>
      <c r="U1100" s="10" t="str">
        <f>HYPERLINK("https://pbs.twimg.com/profile_images/920549149015027712/JGc9iwz_.jpg","View")</f>
        <v>View</v>
      </c>
    </row>
    <row r="1101" spans="1:21" ht="20.399999999999999">
      <c r="A1101" s="6">
        <v>43438.752256944441</v>
      </c>
      <c r="B1101" s="7" t="str">
        <f>HYPERLINK("https://twitter.com/gara_ice","@gara_ice")</f>
        <v>@gara_ice</v>
      </c>
      <c r="C1101" s="8" t="s">
        <v>542</v>
      </c>
      <c r="D1101" s="9" t="s">
        <v>3797</v>
      </c>
      <c r="E1101" s="10" t="str">
        <f>HYPERLINK("https://twitter.com/gara_ice/status/1070000593127858177","1070000593127858177")</f>
        <v>1070000593127858177</v>
      </c>
      <c r="F1101" s="11" t="s">
        <v>3798</v>
      </c>
      <c r="G1101" s="12"/>
      <c r="H1101" s="12"/>
      <c r="I1101" s="13">
        <v>0</v>
      </c>
      <c r="J1101" s="13">
        <v>0</v>
      </c>
      <c r="K1101" s="14" t="str">
        <f>HYPERLINK("https://ifttt.com","IFTTT")</f>
        <v>IFTTT</v>
      </c>
      <c r="L1101" s="13">
        <v>450</v>
      </c>
      <c r="M1101" s="13">
        <v>434</v>
      </c>
      <c r="N1101" s="13">
        <v>10</v>
      </c>
      <c r="O1101" s="15"/>
      <c r="P1101" s="6">
        <v>39590.435324074075</v>
      </c>
      <c r="Q1101" s="12"/>
      <c r="R1101" s="20"/>
      <c r="S1101" s="12"/>
      <c r="T1101" s="12"/>
      <c r="U1101" s="10" t="str">
        <f>HYPERLINK("https://pbs.twimg.com/profile_images/561850533468971008/-4f3cnLr.jpeg","View")</f>
        <v>View</v>
      </c>
    </row>
    <row r="1102" spans="1:21" ht="51">
      <c r="A1102" s="6">
        <v>43438.75</v>
      </c>
      <c r="B1102" s="7" t="str">
        <f>HYPERLINK("https://twitter.com/caval100","@caval100")</f>
        <v>@caval100</v>
      </c>
      <c r="C1102" s="8" t="s">
        <v>72</v>
      </c>
      <c r="D1102" s="9" t="s">
        <v>3799</v>
      </c>
      <c r="E1102" s="10" t="str">
        <f>HYPERLINK("https://twitter.com/caval100/status/1069999776429596673","1069999776429596673")</f>
        <v>1069999776429596673</v>
      </c>
      <c r="F1102" s="11" t="s">
        <v>3729</v>
      </c>
      <c r="G1102" s="12"/>
      <c r="H1102" s="12"/>
      <c r="I1102" s="13">
        <v>0</v>
      </c>
      <c r="J1102" s="13">
        <v>0</v>
      </c>
      <c r="K1102" s="14" t="str">
        <f>HYPERLINK("https://about.twitter.com/products/tweetdeck","TweetDeck")</f>
        <v>TweetDeck</v>
      </c>
      <c r="L1102" s="13">
        <v>119344</v>
      </c>
      <c r="M1102" s="13">
        <v>94000</v>
      </c>
      <c r="N1102" s="13">
        <v>982</v>
      </c>
      <c r="O1102" s="15"/>
      <c r="P1102" s="6">
        <v>40079.437094907407</v>
      </c>
      <c r="Q1102" s="16" t="s">
        <v>75</v>
      </c>
      <c r="R1102" s="17" t="s">
        <v>76</v>
      </c>
      <c r="S1102" s="11" t="s">
        <v>77</v>
      </c>
      <c r="T1102" s="12"/>
      <c r="U1102" s="10" t="str">
        <f>HYPERLINK("https://pbs.twimg.com/profile_images/965350678301429760/uvGI7g8U.jpg","View")</f>
        <v>View</v>
      </c>
    </row>
    <row r="1103" spans="1:21" ht="51">
      <c r="A1103" s="6">
        <v>43438.749953703707</v>
      </c>
      <c r="B1103" s="7" t="str">
        <f>HYPERLINK("https://twitter.com/Caninfin","@Caninfin")</f>
        <v>@Caninfin</v>
      </c>
      <c r="C1103" s="8" t="s">
        <v>3800</v>
      </c>
      <c r="D1103" s="9" t="s">
        <v>3801</v>
      </c>
      <c r="E1103" s="10" t="str">
        <f>HYPERLINK("https://twitter.com/Caninfin/status/1069999755869216769","1069999755869216769")</f>
        <v>1069999755869216769</v>
      </c>
      <c r="F1103" s="12"/>
      <c r="G1103" s="12"/>
      <c r="H1103" s="12"/>
      <c r="I1103" s="13">
        <v>0</v>
      </c>
      <c r="J1103" s="13">
        <v>0</v>
      </c>
      <c r="K1103" s="14" t="str">
        <f t="shared" ref="K1103:K1104" si="185">HYPERLINK("http://twitter.com","Twitter Web Client")</f>
        <v>Twitter Web Client</v>
      </c>
      <c r="L1103" s="13">
        <v>284</v>
      </c>
      <c r="M1103" s="13">
        <v>420</v>
      </c>
      <c r="N1103" s="13">
        <v>6</v>
      </c>
      <c r="O1103" s="15"/>
      <c r="P1103" s="6">
        <v>40826.577430555553</v>
      </c>
      <c r="Q1103" s="12"/>
      <c r="R1103" s="20"/>
      <c r="S1103" s="12"/>
      <c r="T1103" s="12"/>
      <c r="U1103" s="10" t="str">
        <f>HYPERLINK("https://pbs.twimg.com/profile_images/378800000002584502/da92b66073759ec0f9a2549b5e326411.jpeg","View")</f>
        <v>View</v>
      </c>
    </row>
    <row r="1104" spans="1:21" ht="81.599999999999994">
      <c r="A1104" s="6">
        <v>43438.747372685189</v>
      </c>
      <c r="B1104" s="7" t="str">
        <f>HYPERLINK("https://twitter.com/camiloenmadrid","@camiloenmadrid")</f>
        <v>@camiloenmadrid</v>
      </c>
      <c r="C1104" s="8" t="s">
        <v>3802</v>
      </c>
      <c r="D1104" s="9" t="s">
        <v>3803</v>
      </c>
      <c r="E1104" s="10" t="str">
        <f>HYPERLINK("https://twitter.com/camiloenmadrid/status/1069998822380716032","1069998822380716032")</f>
        <v>1069998822380716032</v>
      </c>
      <c r="F1104" s="11" t="s">
        <v>3804</v>
      </c>
      <c r="G1104" s="12"/>
      <c r="H1104" s="12"/>
      <c r="I1104" s="13">
        <v>0</v>
      </c>
      <c r="J1104" s="13">
        <v>1</v>
      </c>
      <c r="K1104" s="14" t="str">
        <f t="shared" si="185"/>
        <v>Twitter Web Client</v>
      </c>
      <c r="L1104" s="13">
        <v>1065</v>
      </c>
      <c r="M1104" s="13">
        <v>262</v>
      </c>
      <c r="N1104" s="13">
        <v>101</v>
      </c>
      <c r="O1104" s="15"/>
      <c r="P1104" s="6">
        <v>40518.889201388891</v>
      </c>
      <c r="Q1104" s="16" t="s">
        <v>191</v>
      </c>
      <c r="R1104" s="17" t="s">
        <v>3805</v>
      </c>
      <c r="S1104" s="12"/>
      <c r="T1104" s="12"/>
      <c r="U1104" s="10" t="str">
        <f>HYPERLINK("https://pbs.twimg.com/profile_images/785374609784893440/i-6NfQ7B.jpg","View")</f>
        <v>View</v>
      </c>
    </row>
    <row r="1105" spans="1:21" ht="30.6">
      <c r="A1105" s="6">
        <v>43438.744791666672</v>
      </c>
      <c r="B1105" s="7" t="str">
        <f>HYPERLINK("https://twitter.com/fromtheTartarus","@fromtheTartarus")</f>
        <v>@fromtheTartarus</v>
      </c>
      <c r="C1105" s="8" t="s">
        <v>3807</v>
      </c>
      <c r="D1105" s="9" t="s">
        <v>3808</v>
      </c>
      <c r="E1105" s="10" t="str">
        <f>HYPERLINK("https://twitter.com/fromtheTartarus/status/1069997887399124993","1069997887399124993")</f>
        <v>1069997887399124993</v>
      </c>
      <c r="F1105" s="12"/>
      <c r="G1105" s="12"/>
      <c r="H1105" s="12"/>
      <c r="I1105" s="13">
        <v>0</v>
      </c>
      <c r="J1105" s="13">
        <v>0</v>
      </c>
      <c r="K1105" s="14" t="str">
        <f t="shared" ref="K1105:K1107" si="186">HYPERLINK("http://twitter.com/download/android","Twitter for Android")</f>
        <v>Twitter for Android</v>
      </c>
      <c r="L1105" s="13">
        <v>1511</v>
      </c>
      <c r="M1105" s="13">
        <v>1528</v>
      </c>
      <c r="N1105" s="13">
        <v>0</v>
      </c>
      <c r="O1105" s="15"/>
      <c r="P1105" s="6">
        <v>41490.686990740738</v>
      </c>
      <c r="Q1105" s="12"/>
      <c r="R1105" s="17" t="s">
        <v>3809</v>
      </c>
      <c r="S1105" s="12"/>
      <c r="T1105" s="12"/>
      <c r="U1105" s="10" t="str">
        <f>HYPERLINK("https://pbs.twimg.com/profile_images/1053912689972523008/kZhxHvEO.jpg","View")</f>
        <v>View</v>
      </c>
    </row>
    <row r="1106" spans="1:21" ht="61.2">
      <c r="A1106" s="6">
        <v>43438.74291666667</v>
      </c>
      <c r="B1106" s="7" t="str">
        <f>HYPERLINK("https://twitter.com/asdf_outraged","@asdf_outraged")</f>
        <v>@asdf_outraged</v>
      </c>
      <c r="C1106" s="8" t="s">
        <v>3810</v>
      </c>
      <c r="D1106" s="9" t="s">
        <v>3811</v>
      </c>
      <c r="E1106" s="10" t="str">
        <f>HYPERLINK("https://twitter.com/asdf_outraged/status/1069997206441205761","1069997206441205761")</f>
        <v>1069997206441205761</v>
      </c>
      <c r="F1106" s="11" t="s">
        <v>3813</v>
      </c>
      <c r="G1106" s="11" t="s">
        <v>3814</v>
      </c>
      <c r="H1106" s="12"/>
      <c r="I1106" s="13">
        <v>0</v>
      </c>
      <c r="J1106" s="13">
        <v>0</v>
      </c>
      <c r="K1106" s="14" t="str">
        <f t="shared" si="186"/>
        <v>Twitter for Android</v>
      </c>
      <c r="L1106" s="13">
        <v>117</v>
      </c>
      <c r="M1106" s="13">
        <v>242</v>
      </c>
      <c r="N1106" s="13">
        <v>0</v>
      </c>
      <c r="O1106" s="15"/>
      <c r="P1106" s="6">
        <v>43103.951180555552</v>
      </c>
      <c r="Q1106" s="16" t="s">
        <v>3815</v>
      </c>
      <c r="R1106" s="17" t="s">
        <v>3816</v>
      </c>
      <c r="S1106" s="11" t="s">
        <v>3817</v>
      </c>
      <c r="T1106" s="12"/>
      <c r="U1106" s="10" t="str">
        <f>HYPERLINK("https://pbs.twimg.com/profile_images/1069632355927756800/Jq3aRT0t.jpg","View")</f>
        <v>View</v>
      </c>
    </row>
    <row r="1107" spans="1:21" ht="61.2">
      <c r="A1107" s="6">
        <v>43438.740219907406</v>
      </c>
      <c r="B1107" s="7" t="str">
        <f>HYPERLINK("https://twitter.com/josep_turu","@josep_turu")</f>
        <v>@josep_turu</v>
      </c>
      <c r="C1107" s="8" t="s">
        <v>3820</v>
      </c>
      <c r="D1107" s="9" t="s">
        <v>3821</v>
      </c>
      <c r="E1107" s="10" t="str">
        <f>HYPERLINK("https://twitter.com/josep_turu/status/1069996230284140544","1069996230284140544")</f>
        <v>1069996230284140544</v>
      </c>
      <c r="F1107" s="12"/>
      <c r="G1107" s="12"/>
      <c r="H1107" s="12"/>
      <c r="I1107" s="13">
        <v>1</v>
      </c>
      <c r="J1107" s="13">
        <v>1</v>
      </c>
      <c r="K1107" s="14" t="str">
        <f t="shared" si="186"/>
        <v>Twitter for Android</v>
      </c>
      <c r="L1107" s="13">
        <v>254</v>
      </c>
      <c r="M1107" s="13">
        <v>443</v>
      </c>
      <c r="N1107" s="13">
        <v>0</v>
      </c>
      <c r="O1107" s="15"/>
      <c r="P1107" s="6">
        <v>43327.861666666664</v>
      </c>
      <c r="Q1107" s="16" t="s">
        <v>3822</v>
      </c>
      <c r="R1107" s="17" t="s">
        <v>3823</v>
      </c>
      <c r="S1107" s="11" t="s">
        <v>3824</v>
      </c>
      <c r="T1107" s="12"/>
      <c r="U1107" s="10" t="str">
        <f>HYPERLINK("https://pbs.twimg.com/profile_images/1031129221714923520/Svss_bB9.jpg","View")</f>
        <v>View</v>
      </c>
    </row>
    <row r="1108" spans="1:21" ht="30.6">
      <c r="A1108" s="6">
        <v>43438.737291666665</v>
      </c>
      <c r="B1108" s="7" t="str">
        <f>HYPERLINK("https://twitter.com/BBegotoro","@BBegotoro")</f>
        <v>@BBegotoro</v>
      </c>
      <c r="C1108" s="8" t="s">
        <v>3825</v>
      </c>
      <c r="D1108" s="9" t="s">
        <v>3826</v>
      </c>
      <c r="E1108" s="10" t="str">
        <f>HYPERLINK("https://twitter.com/BBegotoro/status/1069995170324774912","1069995170324774912")</f>
        <v>1069995170324774912</v>
      </c>
      <c r="F1108" s="12"/>
      <c r="G1108" s="12"/>
      <c r="H1108" s="12"/>
      <c r="I1108" s="13">
        <v>0</v>
      </c>
      <c r="J1108" s="13">
        <v>3</v>
      </c>
      <c r="K1108" s="14" t="str">
        <f>HYPERLINK("https://mobile.twitter.com","Twitter Lite")</f>
        <v>Twitter Lite</v>
      </c>
      <c r="L1108" s="13">
        <v>44</v>
      </c>
      <c r="M1108" s="13">
        <v>129</v>
      </c>
      <c r="N1108" s="13">
        <v>2</v>
      </c>
      <c r="O1108" s="15"/>
      <c r="P1108" s="6">
        <v>41378.766550925924</v>
      </c>
      <c r="Q1108" s="12"/>
      <c r="R1108" s="20"/>
      <c r="S1108" s="11" t="s">
        <v>3827</v>
      </c>
      <c r="T1108" s="12"/>
      <c r="U1108" s="10" t="str">
        <f>HYPERLINK("https://pbs.twimg.com/profile_images/474878656091652097/G_mp6dpG.jpeg","View")</f>
        <v>View</v>
      </c>
    </row>
    <row r="1109" spans="1:21" ht="20.399999999999999">
      <c r="A1109" s="6">
        <v>43438.737245370372</v>
      </c>
      <c r="B1109" s="7" t="str">
        <f>HYPERLINK("https://twitter.com/jmcolmenero","@jmcolmenero")</f>
        <v>@jmcolmenero</v>
      </c>
      <c r="C1109" s="8" t="s">
        <v>3828</v>
      </c>
      <c r="D1109" s="9" t="s">
        <v>3829</v>
      </c>
      <c r="E1109" s="10" t="str">
        <f>HYPERLINK("https://twitter.com/jmcolmenero/status/1069995151324532742","1069995151324532742")</f>
        <v>1069995151324532742</v>
      </c>
      <c r="F1109" s="12"/>
      <c r="G1109" s="12"/>
      <c r="H1109" s="12"/>
      <c r="I1109" s="13">
        <v>0</v>
      </c>
      <c r="J1109" s="13">
        <v>1</v>
      </c>
      <c r="K1109" s="14" t="str">
        <f>HYPERLINK("http://twitter.com/download/android","Twitter for Android")</f>
        <v>Twitter for Android</v>
      </c>
      <c r="L1109" s="13">
        <v>1241</v>
      </c>
      <c r="M1109" s="13">
        <v>1031</v>
      </c>
      <c r="N1109" s="13">
        <v>34</v>
      </c>
      <c r="O1109" s="15"/>
      <c r="P1109" s="6">
        <v>40776.843449074076</v>
      </c>
      <c r="Q1109" s="12"/>
      <c r="R1109" s="17" t="s">
        <v>3830</v>
      </c>
      <c r="S1109" s="12"/>
      <c r="T1109" s="12"/>
      <c r="U1109" s="10" t="str">
        <f>HYPERLINK("https://pbs.twimg.com/profile_images/799963064368066560/xoEdB8Pz.jpg","View")</f>
        <v>View</v>
      </c>
    </row>
    <row r="1110" spans="1:21" ht="40.799999999999997">
      <c r="A1110" s="6">
        <v>43438.736250000002</v>
      </c>
      <c r="B1110" s="7" t="str">
        <f>HYPERLINK("https://twitter.com/LadyWar","@LadyWar")</f>
        <v>@LadyWar</v>
      </c>
      <c r="C1110" s="8" t="s">
        <v>3831</v>
      </c>
      <c r="D1110" s="9" t="s">
        <v>3832</v>
      </c>
      <c r="E1110" s="10" t="str">
        <f>HYPERLINK("https://twitter.com/LadyWar/status/1069994792510201856","1069994792510201856")</f>
        <v>1069994792510201856</v>
      </c>
      <c r="F1110" s="16" t="s">
        <v>3833</v>
      </c>
      <c r="G1110" s="12"/>
      <c r="H1110" s="12"/>
      <c r="I1110" s="13">
        <v>0</v>
      </c>
      <c r="J1110" s="13">
        <v>0</v>
      </c>
      <c r="K1110" s="14" t="str">
        <f>HYPERLINK("http://twitter.com/download/iphone","Twitter for iPhone")</f>
        <v>Twitter for iPhone</v>
      </c>
      <c r="L1110" s="13">
        <v>1525</v>
      </c>
      <c r="M1110" s="13">
        <v>1300</v>
      </c>
      <c r="N1110" s="13">
        <v>34</v>
      </c>
      <c r="O1110" s="15"/>
      <c r="P1110" s="6">
        <v>40684.128437499996</v>
      </c>
      <c r="Q1110" s="16" t="s">
        <v>191</v>
      </c>
      <c r="R1110" s="17" t="s">
        <v>3834</v>
      </c>
      <c r="S1110" s="11" t="s">
        <v>3835</v>
      </c>
      <c r="T1110" s="12"/>
      <c r="U1110" s="10" t="str">
        <f>HYPERLINK("https://pbs.twimg.com/profile_images/1069285941163032576/bs3lrV07.jpg","View")</f>
        <v>View</v>
      </c>
    </row>
    <row r="1111" spans="1:21" ht="20.399999999999999">
      <c r="A1111" s="6">
        <v>43438.73364583333</v>
      </c>
      <c r="B1111" s="7" t="str">
        <f>HYPERLINK("https://twitter.com/ventanasazules","@ventanasazules")</f>
        <v>@ventanasazules</v>
      </c>
      <c r="C1111" s="8" t="s">
        <v>3836</v>
      </c>
      <c r="D1111" s="9" t="s">
        <v>3837</v>
      </c>
      <c r="E1111" s="10" t="str">
        <f>HYPERLINK("https://twitter.com/ventanasazules/status/1069993849626464256","1069993849626464256")</f>
        <v>1069993849626464256</v>
      </c>
      <c r="F1111" s="11" t="s">
        <v>3838</v>
      </c>
      <c r="G1111" s="12"/>
      <c r="H1111" s="12"/>
      <c r="I1111" s="13">
        <v>0</v>
      </c>
      <c r="J1111" s="13">
        <v>0</v>
      </c>
      <c r="K1111" s="14" t="str">
        <f>HYPERLINK("http://twitter.com","Twitter Web Client")</f>
        <v>Twitter Web Client</v>
      </c>
      <c r="L1111" s="13">
        <v>240</v>
      </c>
      <c r="M1111" s="13">
        <v>536</v>
      </c>
      <c r="N1111" s="13">
        <v>6</v>
      </c>
      <c r="O1111" s="15"/>
      <c r="P1111" s="6">
        <v>40910.659131944441</v>
      </c>
      <c r="Q1111" s="16" t="s">
        <v>3839</v>
      </c>
      <c r="R1111" s="17" t="s">
        <v>3840</v>
      </c>
      <c r="S1111" s="12"/>
      <c r="T1111" s="12"/>
      <c r="U1111" s="10" t="str">
        <f>HYPERLINK("https://pbs.twimg.com/profile_images/1874930235/Basi0001.jpg","View")</f>
        <v>View</v>
      </c>
    </row>
    <row r="1112" spans="1:21" ht="20.399999999999999">
      <c r="A1112" s="6">
        <v>43438.731990740736</v>
      </c>
      <c r="B1112" s="7" t="str">
        <f>HYPERLINK("https://twitter.com/OriVelazques","@OriVelazques")</f>
        <v>@OriVelazques</v>
      </c>
      <c r="C1112" s="8" t="s">
        <v>3841</v>
      </c>
      <c r="D1112" s="9" t="s">
        <v>3842</v>
      </c>
      <c r="E1112" s="10" t="str">
        <f>HYPERLINK("https://twitter.com/OriVelazques/status/1069993247747928064","1069993247747928064")</f>
        <v>1069993247747928064</v>
      </c>
      <c r="F1112" s="16" t="s">
        <v>3843</v>
      </c>
      <c r="G1112" s="12"/>
      <c r="H1112" s="12"/>
      <c r="I1112" s="13">
        <v>0</v>
      </c>
      <c r="J1112" s="13">
        <v>0</v>
      </c>
      <c r="K1112" s="14" t="str">
        <f>HYPERLINK("https://dlvrit.com/","dlvr.it")</f>
        <v>dlvr.it</v>
      </c>
      <c r="L1112" s="13">
        <v>47</v>
      </c>
      <c r="M1112" s="13">
        <v>51</v>
      </c>
      <c r="N1112" s="13">
        <v>0</v>
      </c>
      <c r="O1112" s="15"/>
      <c r="P1112" s="6">
        <v>42956.076203703706</v>
      </c>
      <c r="Q1112" s="16" t="s">
        <v>861</v>
      </c>
      <c r="R1112" s="17" t="s">
        <v>3844</v>
      </c>
      <c r="S1112" s="12"/>
      <c r="T1112" s="12"/>
      <c r="U1112" s="10" t="str">
        <f>HYPERLINK("https://pbs.twimg.com/profile_images/1002241229768228864/xnPJJjDO.jpg","View")</f>
        <v>View</v>
      </c>
    </row>
    <row r="1113" spans="1:21" ht="13.2">
      <c r="A1113" s="6">
        <v>43438.718599537038</v>
      </c>
      <c r="B1113" s="7" t="str">
        <f>HYPERLINK("https://twitter.com/SerapioArteser2","@SerapioArteser2")</f>
        <v>@SerapioArteser2</v>
      </c>
      <c r="C1113" s="8" t="s">
        <v>3845</v>
      </c>
      <c r="D1113" s="9" t="s">
        <v>3846</v>
      </c>
      <c r="E1113" s="10" t="str">
        <f>HYPERLINK("https://twitter.com/SerapioArteser2/status/1069988397131988992","1069988397131988992")</f>
        <v>1069988397131988992</v>
      </c>
      <c r="F1113" s="12"/>
      <c r="G1113" s="12"/>
      <c r="H1113" s="12"/>
      <c r="I1113" s="13">
        <v>0</v>
      </c>
      <c r="J1113" s="13">
        <v>0</v>
      </c>
      <c r="K1113" s="14" t="str">
        <f>HYPERLINK("http://twitter.com/download/android","Twitter for Android")</f>
        <v>Twitter for Android</v>
      </c>
      <c r="L1113" s="13">
        <v>1</v>
      </c>
      <c r="M1113" s="13">
        <v>21</v>
      </c>
      <c r="N1113" s="13">
        <v>0</v>
      </c>
      <c r="O1113" s="15"/>
      <c r="P1113" s="6">
        <v>43401.392060185186</v>
      </c>
      <c r="Q1113" s="12"/>
      <c r="R1113" s="20"/>
      <c r="S1113" s="12"/>
      <c r="T1113" s="12"/>
      <c r="U1113" s="19" t="s">
        <v>359</v>
      </c>
    </row>
    <row r="1114" spans="1:21" ht="51">
      <c r="A1114" s="6">
        <v>43438.71157407407</v>
      </c>
      <c r="B1114" s="7" t="str">
        <f>HYPERLINK("https://twitter.com/IgnacioBRomero","@IgnacioBRomero")</f>
        <v>@IgnacioBRomero</v>
      </c>
      <c r="C1114" s="8" t="s">
        <v>3847</v>
      </c>
      <c r="D1114" s="9" t="s">
        <v>3848</v>
      </c>
      <c r="E1114" s="10" t="str">
        <f>HYPERLINK("https://twitter.com/IgnacioBRomero/status/1069985848651931648","1069985848651931648")</f>
        <v>1069985848651931648</v>
      </c>
      <c r="F1114" s="12"/>
      <c r="G1114" s="12"/>
      <c r="H1114" s="12"/>
      <c r="I1114" s="13">
        <v>0</v>
      </c>
      <c r="J1114" s="13">
        <v>0</v>
      </c>
      <c r="K1114" s="14" t="str">
        <f t="shared" ref="K1114:K1117" si="187">HYPERLINK("http://twitter.com","Twitter Web Client")</f>
        <v>Twitter Web Client</v>
      </c>
      <c r="L1114" s="13">
        <v>49</v>
      </c>
      <c r="M1114" s="13">
        <v>62</v>
      </c>
      <c r="N1114" s="13">
        <v>0</v>
      </c>
      <c r="O1114" s="15"/>
      <c r="P1114" s="6">
        <v>40857.775543981479</v>
      </c>
      <c r="Q1114" s="16" t="s">
        <v>48</v>
      </c>
      <c r="R1114" s="17" t="s">
        <v>3849</v>
      </c>
      <c r="S1114" s="11" t="s">
        <v>3850</v>
      </c>
      <c r="T1114" s="12"/>
      <c r="U1114" s="10" t="str">
        <f>HYPERLINK("https://pbs.twimg.com/profile_images/1632338076/cachorros-lince__1_.jpg","View")</f>
        <v>View</v>
      </c>
    </row>
    <row r="1115" spans="1:21" ht="20.399999999999999">
      <c r="A1115" s="6">
        <v>43438.709907407407</v>
      </c>
      <c r="B1115" s="7" t="str">
        <f>HYPERLINK("https://twitter.com/inmoaverycom","@inmoaverycom")</f>
        <v>@inmoaverycom</v>
      </c>
      <c r="C1115" s="21" t="s">
        <v>2235</v>
      </c>
      <c r="D1115" s="9" t="s">
        <v>3851</v>
      </c>
      <c r="E1115" s="10" t="str">
        <f>HYPERLINK("https://twitter.com/inmoaverycom/status/1069985247138324480","1069985247138324480")</f>
        <v>1069985247138324480</v>
      </c>
      <c r="F1115" s="11" t="s">
        <v>3852</v>
      </c>
      <c r="G1115" s="12"/>
      <c r="H1115" s="12"/>
      <c r="I1115" s="13">
        <v>0</v>
      </c>
      <c r="J1115" s="13">
        <v>0</v>
      </c>
      <c r="K1115" s="14" t="str">
        <f t="shared" si="187"/>
        <v>Twitter Web Client</v>
      </c>
      <c r="L1115" s="13">
        <v>769</v>
      </c>
      <c r="M1115" s="13">
        <v>1966</v>
      </c>
      <c r="N1115" s="13">
        <v>11</v>
      </c>
      <c r="O1115" s="15"/>
      <c r="P1115" s="6">
        <v>40871.533506944441</v>
      </c>
      <c r="Q1115" s="16" t="s">
        <v>2237</v>
      </c>
      <c r="R1115" s="17" t="s">
        <v>2238</v>
      </c>
      <c r="S1115" s="11" t="s">
        <v>2239</v>
      </c>
      <c r="T1115" s="12"/>
      <c r="U1115" s="10" t="str">
        <f>HYPERLINK("https://pbs.twimg.com/profile_images/537680086862798848/f8XEPU_F.jpeg","View")</f>
        <v>View</v>
      </c>
    </row>
    <row r="1116" spans="1:21" ht="20.399999999999999">
      <c r="A1116" s="6">
        <v>43438.707835648151</v>
      </c>
      <c r="B1116" s="7" t="str">
        <f>HYPERLINK("https://twitter.com/XoseLieiro","@XoseLieiro")</f>
        <v>@XoseLieiro</v>
      </c>
      <c r="C1116" s="8" t="s">
        <v>3854</v>
      </c>
      <c r="D1116" s="9" t="s">
        <v>2921</v>
      </c>
      <c r="E1116" s="10" t="str">
        <f>HYPERLINK("https://twitter.com/XoseLieiro/status/1069984495225450496","1069984495225450496")</f>
        <v>1069984495225450496</v>
      </c>
      <c r="F1116" s="11" t="s">
        <v>2922</v>
      </c>
      <c r="G1116" s="12"/>
      <c r="H1116" s="12"/>
      <c r="I1116" s="13">
        <v>0</v>
      </c>
      <c r="J1116" s="13">
        <v>0</v>
      </c>
      <c r="K1116" s="14" t="str">
        <f t="shared" si="187"/>
        <v>Twitter Web Client</v>
      </c>
      <c r="L1116" s="13">
        <v>147</v>
      </c>
      <c r="M1116" s="13">
        <v>129</v>
      </c>
      <c r="N1116" s="13">
        <v>19</v>
      </c>
      <c r="O1116" s="15"/>
      <c r="P1116" s="6">
        <v>40671.897164351853</v>
      </c>
      <c r="Q1116" s="16" t="s">
        <v>3856</v>
      </c>
      <c r="R1116" s="20"/>
      <c r="S1116" s="11" t="s">
        <v>3857</v>
      </c>
      <c r="T1116" s="12"/>
      <c r="U1116" s="10" t="str">
        <f>HYPERLINK("https://pbs.twimg.com/profile_images/431343830655193089/ui9kxaC5.jpeg","View")</f>
        <v>View</v>
      </c>
    </row>
    <row r="1117" spans="1:21" ht="51">
      <c r="A1117" s="6">
        <v>43438.701435185183</v>
      </c>
      <c r="B1117" s="7" t="str">
        <f>HYPERLINK("https://twitter.com/durolandia","@durolandia")</f>
        <v>@durolandia</v>
      </c>
      <c r="C1117" s="8" t="s">
        <v>3858</v>
      </c>
      <c r="D1117" s="9" t="s">
        <v>3859</v>
      </c>
      <c r="E1117" s="10" t="str">
        <f>HYPERLINK("https://twitter.com/durolandia/status/1069982174571577344","1069982174571577344")</f>
        <v>1069982174571577344</v>
      </c>
      <c r="F1117" s="11" t="s">
        <v>3860</v>
      </c>
      <c r="G1117" s="12"/>
      <c r="H1117" s="12"/>
      <c r="I1117" s="13">
        <v>57</v>
      </c>
      <c r="J1117" s="13">
        <v>40</v>
      </c>
      <c r="K1117" s="14" t="str">
        <f t="shared" si="187"/>
        <v>Twitter Web Client</v>
      </c>
      <c r="L1117" s="13">
        <v>2110</v>
      </c>
      <c r="M1117" s="13">
        <v>3308</v>
      </c>
      <c r="N1117" s="13">
        <v>126</v>
      </c>
      <c r="O1117" s="15"/>
      <c r="P1117" s="6">
        <v>40821.086793981478</v>
      </c>
      <c r="Q1117" s="16" t="s">
        <v>1071</v>
      </c>
      <c r="R1117" s="17" t="s">
        <v>3861</v>
      </c>
      <c r="S1117" s="12"/>
      <c r="T1117" s="12"/>
      <c r="U1117" s="10" t="str">
        <f>HYPERLINK("https://pbs.twimg.com/profile_images/1070867283168374784/VvfMGlqm.jpg","View")</f>
        <v>View</v>
      </c>
    </row>
    <row r="1118" spans="1:21" ht="61.2">
      <c r="A1118" s="6">
        <v>43438.697615740741</v>
      </c>
      <c r="B1118" s="7" t="str">
        <f>HYPERLINK("https://twitter.com/umprovicent","@umprovicent")</f>
        <v>@umprovicent</v>
      </c>
      <c r="C1118" s="8" t="s">
        <v>3862</v>
      </c>
      <c r="D1118" s="9" t="s">
        <v>3863</v>
      </c>
      <c r="E1118" s="10" t="str">
        <f>HYPERLINK("https://twitter.com/umprovicent/status/1069980791046840320","1069980791046840320")</f>
        <v>1069980791046840320</v>
      </c>
      <c r="F1118" s="12"/>
      <c r="G1118" s="12"/>
      <c r="H1118" s="12"/>
      <c r="I1118" s="13">
        <v>0</v>
      </c>
      <c r="J1118" s="13">
        <v>0</v>
      </c>
      <c r="K1118" s="14" t="str">
        <f>HYPERLINK("http://twitter.com/#!/download/ipad","Twitter for iPad")</f>
        <v>Twitter for iPad</v>
      </c>
      <c r="L1118" s="13">
        <v>808</v>
      </c>
      <c r="M1118" s="13">
        <v>2132</v>
      </c>
      <c r="N1118" s="13">
        <v>29</v>
      </c>
      <c r="O1118" s="15"/>
      <c r="P1118" s="6">
        <v>40500.604953703703</v>
      </c>
      <c r="Q1118" s="16" t="s">
        <v>3864</v>
      </c>
      <c r="R1118" s="17" t="s">
        <v>3865</v>
      </c>
      <c r="S1118" s="12"/>
      <c r="T1118" s="12"/>
      <c r="U1118" s="10" t="str">
        <f>HYPERLINK("https://pbs.twimg.com/profile_images/857313508953870337/cTtzEb9D.jpg","View")</f>
        <v>View</v>
      </c>
    </row>
    <row r="1119" spans="1:21" ht="20.399999999999999">
      <c r="A1119" s="6">
        <v>43438.695370370369</v>
      </c>
      <c r="B1119" s="7" t="str">
        <f>HYPERLINK("https://twitter.com/RodrigoDdeV13","@RodrigoDdeV13")</f>
        <v>@RodrigoDdeV13</v>
      </c>
      <c r="C1119" s="8" t="s">
        <v>3866</v>
      </c>
      <c r="D1119" s="9" t="s">
        <v>3867</v>
      </c>
      <c r="E1119" s="10" t="str">
        <f>HYPERLINK("https://twitter.com/RodrigoDdeV13/status/1069979977104412672","1069979977104412672")</f>
        <v>1069979977104412672</v>
      </c>
      <c r="F1119" s="11" t="s">
        <v>3868</v>
      </c>
      <c r="G1119" s="12"/>
      <c r="H1119" s="12"/>
      <c r="I1119" s="13">
        <v>1</v>
      </c>
      <c r="J1119" s="13">
        <v>1</v>
      </c>
      <c r="K1119" s="14" t="str">
        <f>HYPERLINK("http://twitter.com","Twitter Web Client")</f>
        <v>Twitter Web Client</v>
      </c>
      <c r="L1119" s="13">
        <v>13110</v>
      </c>
      <c r="M1119" s="13">
        <v>10320</v>
      </c>
      <c r="N1119" s="13">
        <v>99</v>
      </c>
      <c r="O1119" s="15"/>
      <c r="P1119" s="6">
        <v>41296.723912037036</v>
      </c>
      <c r="Q1119" s="16" t="s">
        <v>3869</v>
      </c>
      <c r="R1119" s="17" t="s">
        <v>3870</v>
      </c>
      <c r="S1119" s="12"/>
      <c r="T1119" s="12"/>
      <c r="U1119" s="10" t="str">
        <f>HYPERLINK("https://pbs.twimg.com/profile_images/956991769719267329/mznOIEdp.jpg","View")</f>
        <v>View</v>
      </c>
    </row>
    <row r="1120" spans="1:21" ht="20.399999999999999">
      <c r="A1120" s="6">
        <v>43438.685335648144</v>
      </c>
      <c r="B1120" s="7" t="str">
        <f>HYPERLINK("https://twitter.com/Aureliogonzal71","@Aureliogonzal71")</f>
        <v>@Aureliogonzal71</v>
      </c>
      <c r="C1120" s="8" t="s">
        <v>3871</v>
      </c>
      <c r="D1120" s="9" t="s">
        <v>3872</v>
      </c>
      <c r="E1120" s="10" t="str">
        <f>HYPERLINK("https://twitter.com/Aureliogonzal71/status/1069976338964992000","1069976338964992000")</f>
        <v>1069976338964992000</v>
      </c>
      <c r="F1120" s="11" t="s">
        <v>3873</v>
      </c>
      <c r="G1120" s="12"/>
      <c r="H1120" s="12"/>
      <c r="I1120" s="13">
        <v>0</v>
      </c>
      <c r="J1120" s="13">
        <v>1</v>
      </c>
      <c r="K1120" s="14" t="str">
        <f>HYPERLINK("http://twitter.com/download/iphone","Twitter for iPhone")</f>
        <v>Twitter for iPhone</v>
      </c>
      <c r="L1120" s="13">
        <v>2288</v>
      </c>
      <c r="M1120" s="13">
        <v>1623</v>
      </c>
      <c r="N1120" s="13">
        <v>50</v>
      </c>
      <c r="O1120" s="15"/>
      <c r="P1120" s="6">
        <v>41059.941736111112</v>
      </c>
      <c r="Q1120" s="16" t="s">
        <v>3874</v>
      </c>
      <c r="R1120" s="17" t="s">
        <v>3875</v>
      </c>
      <c r="S1120" s="11" t="s">
        <v>3876</v>
      </c>
      <c r="T1120" s="12"/>
      <c r="U1120" s="10" t="str">
        <f>HYPERLINK("https://pbs.twimg.com/profile_images/509432814522359808/5ml3YaMz.jpeg","View")</f>
        <v>View</v>
      </c>
    </row>
    <row r="1121" spans="1:21" ht="30.6">
      <c r="A1121" s="6">
        <v>43438.684537037036</v>
      </c>
      <c r="B1121" s="7" t="str">
        <f>HYPERLINK("https://twitter.com/BenderOfuscado","@BenderOfuscado")</f>
        <v>@BenderOfuscado</v>
      </c>
      <c r="C1121" s="8" t="s">
        <v>2854</v>
      </c>
      <c r="D1121" s="9" t="s">
        <v>3878</v>
      </c>
      <c r="E1121" s="10" t="str">
        <f>HYPERLINK("https://twitter.com/BenderOfuscado/status/1069976052208930816","1069976052208930816")</f>
        <v>1069976052208930816</v>
      </c>
      <c r="F1121" s="12"/>
      <c r="G1121" s="12"/>
      <c r="H1121" s="12"/>
      <c r="I1121" s="13">
        <v>1</v>
      </c>
      <c r="J1121" s="13">
        <v>3</v>
      </c>
      <c r="K1121" s="14" t="str">
        <f>HYPERLINK("http://twitter.com/download/android","Twitter for Android")</f>
        <v>Twitter for Android</v>
      </c>
      <c r="L1121" s="13">
        <v>399</v>
      </c>
      <c r="M1121" s="13">
        <v>119</v>
      </c>
      <c r="N1121" s="13">
        <v>3</v>
      </c>
      <c r="O1121" s="15"/>
      <c r="P1121" s="6">
        <v>43024.934791666667</v>
      </c>
      <c r="Q1121" s="12"/>
      <c r="R1121" s="17" t="s">
        <v>2856</v>
      </c>
      <c r="S1121" s="12"/>
      <c r="T1121" s="12"/>
      <c r="U1121" s="10" t="str">
        <f>HYPERLINK("https://pbs.twimg.com/profile_images/1032296142674055169/HJToDVsj.jpg","View")</f>
        <v>View</v>
      </c>
    </row>
    <row r="1122" spans="1:21" ht="40.799999999999997">
      <c r="A1122" s="6">
        <v>43438.684351851851</v>
      </c>
      <c r="B1122" s="7" t="str">
        <f>HYPERLINK("https://twitter.com/JoseMGirela","@JoseMGirela")</f>
        <v>@JoseMGirela</v>
      </c>
      <c r="C1122" s="8" t="s">
        <v>3879</v>
      </c>
      <c r="D1122" s="9" t="s">
        <v>3880</v>
      </c>
      <c r="E1122" s="10" t="str">
        <f>HYPERLINK("https://twitter.com/JoseMGirela/status/1069975985796378626","1069975985796378626")</f>
        <v>1069975985796378626</v>
      </c>
      <c r="F1122" s="12"/>
      <c r="G1122" s="11" t="s">
        <v>3881</v>
      </c>
      <c r="H1122" s="12"/>
      <c r="I1122" s="13">
        <v>1</v>
      </c>
      <c r="J1122" s="13">
        <v>1</v>
      </c>
      <c r="K1122" s="14" t="str">
        <f>HYPERLINK("http://twitter.com/download/iphone","Twitter for iPhone")</f>
        <v>Twitter for iPhone</v>
      </c>
      <c r="L1122" s="13">
        <v>2730</v>
      </c>
      <c r="M1122" s="13">
        <v>1422</v>
      </c>
      <c r="N1122" s="13">
        <v>52</v>
      </c>
      <c r="O1122" s="15"/>
      <c r="P1122" s="6">
        <v>40842.515578703707</v>
      </c>
      <c r="Q1122" s="16" t="s">
        <v>735</v>
      </c>
      <c r="R1122" s="17" t="s">
        <v>3882</v>
      </c>
      <c r="S1122" s="12"/>
      <c r="T1122" s="12"/>
      <c r="U1122" s="10" t="str">
        <f>HYPERLINK("https://pbs.twimg.com/profile_images/1013193182631333888/fbtKnwTC.jpg","View")</f>
        <v>View</v>
      </c>
    </row>
    <row r="1123" spans="1:21" ht="30.6">
      <c r="A1123" s="6">
        <v>43438.677789351852</v>
      </c>
      <c r="B1123" s="7" t="str">
        <f>HYPERLINK("https://twitter.com/mariano9605","@mariano9605")</f>
        <v>@mariano9605</v>
      </c>
      <c r="C1123" s="8" t="s">
        <v>843</v>
      </c>
      <c r="D1123" s="9" t="s">
        <v>3884</v>
      </c>
      <c r="E1123" s="10" t="str">
        <f>HYPERLINK("https://twitter.com/mariano9605/status/1069973605637857282","1069973605637857282")</f>
        <v>1069973605637857282</v>
      </c>
      <c r="F1123" s="11" t="s">
        <v>3885</v>
      </c>
      <c r="G1123" s="12"/>
      <c r="H1123" s="12"/>
      <c r="I1123" s="13">
        <v>1</v>
      </c>
      <c r="J1123" s="13">
        <v>2</v>
      </c>
      <c r="K1123" s="14" t="str">
        <f t="shared" ref="K1123:K1126" si="188">HYPERLINK("http://twitter.com","Twitter Web Client")</f>
        <v>Twitter Web Client</v>
      </c>
      <c r="L1123" s="13">
        <v>56286</v>
      </c>
      <c r="M1123" s="13">
        <v>54122</v>
      </c>
      <c r="N1123" s="13">
        <v>303</v>
      </c>
      <c r="O1123" s="15"/>
      <c r="P1123" s="6">
        <v>40869.915659722225</v>
      </c>
      <c r="Q1123" s="16" t="s">
        <v>845</v>
      </c>
      <c r="R1123" s="17" t="s">
        <v>846</v>
      </c>
      <c r="S1123" s="12"/>
      <c r="T1123" s="12"/>
      <c r="U1123" s="10" t="str">
        <f>HYPERLINK("https://pbs.twimg.com/profile_images/427860629525757952/ohW7e5Pf.jpeg","View")</f>
        <v>View</v>
      </c>
    </row>
    <row r="1124" spans="1:21" ht="20.399999999999999">
      <c r="A1124" s="6">
        <v>43438.676180555558</v>
      </c>
      <c r="B1124" s="7" t="str">
        <f>HYPERLINK("https://twitter.com/cl4usman","@cl4usman")</f>
        <v>@cl4usman</v>
      </c>
      <c r="C1124" s="8" t="s">
        <v>3886</v>
      </c>
      <c r="D1124" s="9" t="s">
        <v>3887</v>
      </c>
      <c r="E1124" s="10" t="str">
        <f>HYPERLINK("https://twitter.com/cl4usman/status/1069973025011961857","1069973025011961857")</f>
        <v>1069973025011961857</v>
      </c>
      <c r="F1124" s="11" t="s">
        <v>3888</v>
      </c>
      <c r="G1124" s="12"/>
      <c r="H1124" s="12"/>
      <c r="I1124" s="13">
        <v>1</v>
      </c>
      <c r="J1124" s="13">
        <v>3</v>
      </c>
      <c r="K1124" s="14" t="str">
        <f t="shared" si="188"/>
        <v>Twitter Web Client</v>
      </c>
      <c r="L1124" s="13">
        <v>29925</v>
      </c>
      <c r="M1124" s="13">
        <v>637</v>
      </c>
      <c r="N1124" s="13">
        <v>581</v>
      </c>
      <c r="O1124" s="15"/>
      <c r="P1124" s="6">
        <v>40682.015219907407</v>
      </c>
      <c r="Q1124" s="16" t="s">
        <v>3889</v>
      </c>
      <c r="R1124" s="17" t="s">
        <v>3890</v>
      </c>
      <c r="S1124" s="11" t="s">
        <v>3888</v>
      </c>
      <c r="T1124" s="12"/>
      <c r="U1124" s="10" t="str">
        <f>HYPERLINK("https://pbs.twimg.com/profile_images/1064586450505801728/8mKsDTw2.jpg","View")</f>
        <v>View</v>
      </c>
    </row>
    <row r="1125" spans="1:21" ht="51">
      <c r="A1125" s="6">
        <v>43438.674421296295</v>
      </c>
      <c r="B1125" s="7" t="str">
        <f>HYPERLINK("https://twitter.com/brubeaker","@brubeaker")</f>
        <v>@brubeaker</v>
      </c>
      <c r="C1125" s="8" t="s">
        <v>1205</v>
      </c>
      <c r="D1125" s="9" t="s">
        <v>3891</v>
      </c>
      <c r="E1125" s="10" t="str">
        <f>HYPERLINK("https://twitter.com/brubeaker/status/1069972384172658689","1069972384172658689")</f>
        <v>1069972384172658689</v>
      </c>
      <c r="F1125" s="12"/>
      <c r="G1125" s="12"/>
      <c r="H1125" s="12"/>
      <c r="I1125" s="13">
        <v>1</v>
      </c>
      <c r="J1125" s="13">
        <v>0</v>
      </c>
      <c r="K1125" s="14" t="str">
        <f t="shared" si="188"/>
        <v>Twitter Web Client</v>
      </c>
      <c r="L1125" s="13">
        <v>38</v>
      </c>
      <c r="M1125" s="13">
        <v>164</v>
      </c>
      <c r="N1125" s="13">
        <v>2</v>
      </c>
      <c r="O1125" s="15"/>
      <c r="P1125" s="6">
        <v>41780.336550925924</v>
      </c>
      <c r="Q1125" s="12"/>
      <c r="R1125" s="17" t="s">
        <v>1207</v>
      </c>
      <c r="S1125" s="12"/>
      <c r="T1125" s="12"/>
      <c r="U1125" s="10" t="str">
        <f>HYPERLINK("https://pbs.twimg.com/profile_images/1036025081179332608/VWYH9QdS.jpg","View")</f>
        <v>View</v>
      </c>
    </row>
    <row r="1126" spans="1:21" ht="51">
      <c r="A1126" s="6">
        <v>43438.671759259261</v>
      </c>
      <c r="B1126" s="7" t="str">
        <f>HYPERLINK("https://twitter.com/EdDestino","@EdDestino")</f>
        <v>@EdDestino</v>
      </c>
      <c r="C1126" s="8" t="s">
        <v>3892</v>
      </c>
      <c r="D1126" s="9" t="s">
        <v>3893</v>
      </c>
      <c r="E1126" s="10" t="str">
        <f>HYPERLINK("https://twitter.com/EdDestino/status/1069971419306618882","1069971419306618882")</f>
        <v>1069971419306618882</v>
      </c>
      <c r="F1126" s="11" t="s">
        <v>3894</v>
      </c>
      <c r="G1126" s="12"/>
      <c r="H1126" s="12"/>
      <c r="I1126" s="13">
        <v>2</v>
      </c>
      <c r="J1126" s="13">
        <v>7</v>
      </c>
      <c r="K1126" s="14" t="str">
        <f t="shared" si="188"/>
        <v>Twitter Web Client</v>
      </c>
      <c r="L1126" s="13">
        <v>81653</v>
      </c>
      <c r="M1126" s="13">
        <v>3402</v>
      </c>
      <c r="N1126" s="13">
        <v>1228</v>
      </c>
      <c r="O1126" s="15"/>
      <c r="P1126" s="6">
        <v>40508.676180555558</v>
      </c>
      <c r="Q1126" s="12"/>
      <c r="R1126" s="17" t="s">
        <v>3895</v>
      </c>
      <c r="S1126" s="11" t="s">
        <v>3896</v>
      </c>
      <c r="T1126" s="12"/>
      <c r="U1126" s="10" t="str">
        <f>HYPERLINK("https://pbs.twimg.com/profile_images/976013392900247552/owtYrtYY.jpg","View")</f>
        <v>View</v>
      </c>
    </row>
    <row r="1127" spans="1:21" ht="30.6">
      <c r="A1127" s="6">
        <v>43438.669699074075</v>
      </c>
      <c r="B1127" s="7" t="str">
        <f>HYPERLINK("https://twitter.com/miquinta1","@miquinta1")</f>
        <v>@miquinta1</v>
      </c>
      <c r="C1127" s="8" t="s">
        <v>3897</v>
      </c>
      <c r="D1127" s="9" t="s">
        <v>3898</v>
      </c>
      <c r="E1127" s="10" t="str">
        <f>HYPERLINK("https://twitter.com/miquinta1/status/1069970672816934912","1069970672816934912")</f>
        <v>1069970672816934912</v>
      </c>
      <c r="F1127" s="12"/>
      <c r="G1127" s="11" t="s">
        <v>3899</v>
      </c>
      <c r="H1127" s="12"/>
      <c r="I1127" s="13">
        <v>5</v>
      </c>
      <c r="J1127" s="13">
        <v>4</v>
      </c>
      <c r="K1127" s="14" t="str">
        <f>HYPERLINK("http://twitter.com/download/iphone","Twitter for iPhone")</f>
        <v>Twitter for iPhone</v>
      </c>
      <c r="L1127" s="13">
        <v>1986</v>
      </c>
      <c r="M1127" s="13">
        <v>427</v>
      </c>
      <c r="N1127" s="13">
        <v>18</v>
      </c>
      <c r="O1127" s="15"/>
      <c r="P1127" s="6">
        <v>40741.774583333332</v>
      </c>
      <c r="Q1127" s="12"/>
      <c r="R1127" s="17" t="s">
        <v>3900</v>
      </c>
      <c r="S1127" s="12"/>
      <c r="T1127" s="12"/>
      <c r="U1127" s="10" t="str">
        <f>HYPERLINK("https://pbs.twimg.com/profile_images/447761040848478208/67FQNE4C.jpeg","View")</f>
        <v>View</v>
      </c>
    </row>
    <row r="1128" spans="1:21" ht="30.6">
      <c r="A1128" s="6">
        <v>43438.666956018518</v>
      </c>
      <c r="B1128" s="7" t="str">
        <f>HYPERLINK("https://twitter.com/elpais_espana","@elpais_espana")</f>
        <v>@elpais_espana</v>
      </c>
      <c r="C1128" s="8" t="s">
        <v>3901</v>
      </c>
      <c r="D1128" s="9" t="s">
        <v>3902</v>
      </c>
      <c r="E1128" s="10" t="str">
        <f>HYPERLINK("https://twitter.com/elpais_espana/status/1069969678951505924","1069969678951505924")</f>
        <v>1069969678951505924</v>
      </c>
      <c r="F1128" s="11" t="s">
        <v>3903</v>
      </c>
      <c r="G1128" s="12"/>
      <c r="H1128" s="12"/>
      <c r="I1128" s="13">
        <v>29</v>
      </c>
      <c r="J1128" s="13">
        <v>18</v>
      </c>
      <c r="K1128" s="14" t="str">
        <f t="shared" ref="K1128:K1129" si="189">HYPERLINK("https://www.hootsuite.com","Hootsuite Inc.")</f>
        <v>Hootsuite Inc.</v>
      </c>
      <c r="L1128" s="13">
        <v>405188</v>
      </c>
      <c r="M1128" s="13">
        <v>799</v>
      </c>
      <c r="N1128" s="13">
        <v>6352</v>
      </c>
      <c r="O1128" s="19" t="s">
        <v>44</v>
      </c>
      <c r="P1128" s="6">
        <v>40245.788946759261</v>
      </c>
      <c r="Q1128" s="16" t="s">
        <v>191</v>
      </c>
      <c r="R1128" s="17" t="s">
        <v>3904</v>
      </c>
      <c r="S1128" s="11" t="s">
        <v>3905</v>
      </c>
      <c r="T1128" s="12"/>
      <c r="U1128" s="10" t="str">
        <f>HYPERLINK("https://pbs.twimg.com/profile_images/917337394914955264/aoU6Bl-8.jpg","View")</f>
        <v>View</v>
      </c>
    </row>
    <row r="1129" spans="1:21" ht="20.399999999999999">
      <c r="A1129" s="6">
        <v>43438.666701388887</v>
      </c>
      <c r="B1129" s="7" t="str">
        <f>HYPERLINK("https://twitter.com/CSurNoticias","@CSurNoticias")</f>
        <v>@CSurNoticias</v>
      </c>
      <c r="C1129" s="8" t="s">
        <v>331</v>
      </c>
      <c r="D1129" s="9" t="s">
        <v>3906</v>
      </c>
      <c r="E1129" s="10" t="str">
        <f>HYPERLINK("https://twitter.com/CSurNoticias/status/1069969587872129027","1069969587872129027")</f>
        <v>1069969587872129027</v>
      </c>
      <c r="F1129" s="11" t="s">
        <v>3907</v>
      </c>
      <c r="G1129" s="11" t="s">
        <v>3908</v>
      </c>
      <c r="H1129" s="12"/>
      <c r="I1129" s="13">
        <v>1</v>
      </c>
      <c r="J1129" s="13">
        <v>0</v>
      </c>
      <c r="K1129" s="14" t="str">
        <f t="shared" si="189"/>
        <v>Hootsuite Inc.</v>
      </c>
      <c r="L1129" s="13">
        <v>53216</v>
      </c>
      <c r="M1129" s="13">
        <v>232</v>
      </c>
      <c r="N1129" s="13">
        <v>890</v>
      </c>
      <c r="O1129" s="19" t="s">
        <v>44</v>
      </c>
      <c r="P1129" s="6">
        <v>39931.566990740743</v>
      </c>
      <c r="Q1129" s="16" t="s">
        <v>167</v>
      </c>
      <c r="R1129" s="17" t="s">
        <v>334</v>
      </c>
      <c r="S1129" s="11" t="s">
        <v>335</v>
      </c>
      <c r="T1129" s="12"/>
      <c r="U1129" s="10" t="str">
        <f>HYPERLINK("https://pbs.twimg.com/profile_images/1040565829119696896/5IRki3sL.jpg","View")</f>
        <v>View</v>
      </c>
    </row>
    <row r="1130" spans="1:21" ht="40.799999999999997">
      <c r="A1130" s="6">
        <v>43438.665127314816</v>
      </c>
      <c r="B1130" s="7" t="str">
        <f>HYPERLINK("https://twitter.com/jamcanape","@jamcanape")</f>
        <v>@jamcanape</v>
      </c>
      <c r="C1130" s="8" t="s">
        <v>3909</v>
      </c>
      <c r="D1130" s="9" t="s">
        <v>3910</v>
      </c>
      <c r="E1130" s="10" t="str">
        <f>HYPERLINK("https://twitter.com/jamcanape/status/1069969018939949062","1069969018939949062")</f>
        <v>1069969018939949062</v>
      </c>
      <c r="F1130" s="12"/>
      <c r="G1130" s="12"/>
      <c r="H1130" s="12"/>
      <c r="I1130" s="13">
        <v>21</v>
      </c>
      <c r="J1130" s="13">
        <v>30</v>
      </c>
      <c r="K1130" s="14" t="str">
        <f>HYPERLINK("http://twitter.com","Twitter Web Client")</f>
        <v>Twitter Web Client</v>
      </c>
      <c r="L1130" s="13">
        <v>7469</v>
      </c>
      <c r="M1130" s="13">
        <v>5059</v>
      </c>
      <c r="N1130" s="13">
        <v>85</v>
      </c>
      <c r="O1130" s="15"/>
      <c r="P1130" s="6">
        <v>40254.511249999996</v>
      </c>
      <c r="Q1130" s="16" t="s">
        <v>191</v>
      </c>
      <c r="R1130" s="17" t="s">
        <v>3911</v>
      </c>
      <c r="S1130" s="12"/>
      <c r="T1130" s="12"/>
      <c r="U1130" s="10" t="str">
        <f>HYPERLINK("https://pbs.twimg.com/profile_images/1039449376723222528/63VEB3T4.jpg","View")</f>
        <v>View</v>
      </c>
    </row>
    <row r="1131" spans="1:21" ht="20.399999999999999">
      <c r="A1131" s="6">
        <v>43438.663576388892</v>
      </c>
      <c r="B1131" s="7" t="str">
        <f>HYPERLINK("https://twitter.com/clamorsegovia","@clamorsegovia")</f>
        <v>@clamorsegovia</v>
      </c>
      <c r="C1131" s="8" t="s">
        <v>3327</v>
      </c>
      <c r="D1131" s="9" t="s">
        <v>3912</v>
      </c>
      <c r="E1131" s="10" t="str">
        <f>HYPERLINK("https://twitter.com/clamorsegovia/status/1069968453828788226","1069968453828788226")</f>
        <v>1069968453828788226</v>
      </c>
      <c r="F1131" s="11" t="s">
        <v>3868</v>
      </c>
      <c r="G1131" s="12"/>
      <c r="H1131" s="12"/>
      <c r="I1131" s="13">
        <v>0</v>
      </c>
      <c r="J1131" s="13">
        <v>0</v>
      </c>
      <c r="K1131" s="14" t="str">
        <f>HYPERLINK("http://twitter.com/download/android","Twitter for Android")</f>
        <v>Twitter for Android</v>
      </c>
      <c r="L1131" s="13">
        <v>2718</v>
      </c>
      <c r="M1131" s="13">
        <v>1712</v>
      </c>
      <c r="N1131" s="13">
        <v>44</v>
      </c>
      <c r="O1131" s="15"/>
      <c r="P1131" s="6">
        <v>40615.442974537036</v>
      </c>
      <c r="Q1131" s="16" t="s">
        <v>191</v>
      </c>
      <c r="R1131" s="17" t="s">
        <v>3329</v>
      </c>
      <c r="S1131" s="11" t="s">
        <v>3330</v>
      </c>
      <c r="T1131" s="12"/>
      <c r="U1131" s="10" t="str">
        <f>HYPERLINK("https://pbs.twimg.com/profile_images/1055051697536622592/sYsCmnMN.jpg","View")</f>
        <v>View</v>
      </c>
    </row>
    <row r="1132" spans="1:21" ht="51">
      <c r="A1132" s="6">
        <v>43438.661435185189</v>
      </c>
      <c r="B1132" s="7" t="str">
        <f>HYPERLINK("https://twitter.com/AnnaysoloAnna","@AnnaysoloAnna")</f>
        <v>@AnnaysoloAnna</v>
      </c>
      <c r="C1132" s="8" t="s">
        <v>3913</v>
      </c>
      <c r="D1132" s="9" t="s">
        <v>3914</v>
      </c>
      <c r="E1132" s="10" t="str">
        <f>HYPERLINK("https://twitter.com/AnnaysoloAnna/status/1069967680185221120","1069967680185221120")</f>
        <v>1069967680185221120</v>
      </c>
      <c r="F1132" s="12"/>
      <c r="G1132" s="11" t="s">
        <v>3915</v>
      </c>
      <c r="H1132" s="12"/>
      <c r="I1132" s="13">
        <v>0</v>
      </c>
      <c r="J1132" s="13">
        <v>4</v>
      </c>
      <c r="K1132" s="14" t="str">
        <f>HYPERLINK("http://twitter.com/download/iphone","Twitter for iPhone")</f>
        <v>Twitter for iPhone</v>
      </c>
      <c r="L1132" s="13">
        <v>210</v>
      </c>
      <c r="M1132" s="13">
        <v>198</v>
      </c>
      <c r="N1132" s="13">
        <v>1</v>
      </c>
      <c r="O1132" s="15"/>
      <c r="P1132" s="6">
        <v>42783.680335648147</v>
      </c>
      <c r="Q1132" s="16" t="s">
        <v>882</v>
      </c>
      <c r="R1132" s="17" t="s">
        <v>3916</v>
      </c>
      <c r="S1132" s="12"/>
      <c r="T1132" s="12"/>
      <c r="U1132" s="10" t="str">
        <f>HYPERLINK("https://pbs.twimg.com/profile_images/953348859471777793/X-JM66_L.jpg","View")</f>
        <v>View</v>
      </c>
    </row>
    <row r="1133" spans="1:21" ht="30.6">
      <c r="A1133" s="6">
        <v>43438.658819444448</v>
      </c>
      <c r="B1133" s="7" t="str">
        <f>HYPERLINK("https://twitter.com/bcn2day","@bcn2day")</f>
        <v>@bcn2day</v>
      </c>
      <c r="C1133" s="8" t="s">
        <v>3917</v>
      </c>
      <c r="D1133" s="9" t="s">
        <v>3918</v>
      </c>
      <c r="E1133" s="10" t="str">
        <f>HYPERLINK("https://twitter.com/bcn2day/status/1069966730733203460","1069966730733203460")</f>
        <v>1069966730733203460</v>
      </c>
      <c r="F1133" s="11" t="s">
        <v>3919</v>
      </c>
      <c r="G1133" s="12"/>
      <c r="H1133" s="12"/>
      <c r="I1133" s="13">
        <v>0</v>
      </c>
      <c r="J1133" s="13">
        <v>0</v>
      </c>
      <c r="K1133" s="14" t="str">
        <f>HYPERLINK("http://www.facebook.com/twitter","Facebook")</f>
        <v>Facebook</v>
      </c>
      <c r="L1133" s="13">
        <v>61</v>
      </c>
      <c r="M1133" s="13">
        <v>10</v>
      </c>
      <c r="N1133" s="13">
        <v>1</v>
      </c>
      <c r="O1133" s="15"/>
      <c r="P1133" s="6">
        <v>42264.120567129634</v>
      </c>
      <c r="Q1133" s="12"/>
      <c r="R1133" s="20"/>
      <c r="S1133" s="12"/>
      <c r="T1133" s="12"/>
      <c r="U1133" s="10" t="str">
        <f>HYPERLINK("https://pbs.twimg.com/profile_images/644504700356816896/LMbKA-C7.jpg","View")</f>
        <v>View</v>
      </c>
    </row>
    <row r="1134" spans="1:21" ht="20.399999999999999">
      <c r="A1134" s="6">
        <v>43438.658020833333</v>
      </c>
      <c r="B1134" s="7" t="str">
        <f>HYPERLINK("https://twitter.com/luluuu19_","@luluuu19_")</f>
        <v>@luluuu19_</v>
      </c>
      <c r="C1134" s="8" t="s">
        <v>3920</v>
      </c>
      <c r="D1134" s="9" t="s">
        <v>3921</v>
      </c>
      <c r="E1134" s="10" t="str">
        <f>HYPERLINK("https://twitter.com/luluuu19_/status/1069966441762471936","1069966441762471936")</f>
        <v>1069966441762471936</v>
      </c>
      <c r="F1134" s="12"/>
      <c r="G1134" s="12"/>
      <c r="H1134" s="12"/>
      <c r="I1134" s="13">
        <v>0</v>
      </c>
      <c r="J1134" s="13">
        <v>0</v>
      </c>
      <c r="K1134" s="14" t="str">
        <f>HYPERLINK("http://twitter.com/download/iphone","Twitter for iPhone")</f>
        <v>Twitter for iPhone</v>
      </c>
      <c r="L1134" s="13">
        <v>324</v>
      </c>
      <c r="M1134" s="13">
        <v>572</v>
      </c>
      <c r="N1134" s="13">
        <v>8</v>
      </c>
      <c r="O1134" s="15"/>
      <c r="P1134" s="6">
        <v>41034.935208333336</v>
      </c>
      <c r="Q1134" s="16" t="s">
        <v>3922</v>
      </c>
      <c r="R1134" s="17" t="s">
        <v>3923</v>
      </c>
      <c r="S1134" s="12"/>
      <c r="T1134" s="12"/>
      <c r="U1134" s="10" t="str">
        <f>HYPERLINK("https://pbs.twimg.com/profile_images/1061420866775511040/OeCZcoR-.jpg","View")</f>
        <v>View</v>
      </c>
    </row>
    <row r="1135" spans="1:21" ht="51">
      <c r="A1135" s="6">
        <v>43438.655833333338</v>
      </c>
      <c r="B1135" s="7" t="str">
        <f>HYPERLINK("https://twitter.com/JaviiRCCelta","@JaviiRCCelta")</f>
        <v>@JaviiRCCelta</v>
      </c>
      <c r="C1135" s="8" t="s">
        <v>3924</v>
      </c>
      <c r="D1135" s="9" t="s">
        <v>3925</v>
      </c>
      <c r="E1135" s="10" t="str">
        <f>HYPERLINK("https://twitter.com/JaviiRCCelta/status/1069965647864582145","1069965647864582145")</f>
        <v>1069965647864582145</v>
      </c>
      <c r="F1135" s="12"/>
      <c r="G1135" s="12"/>
      <c r="H1135" s="12"/>
      <c r="I1135" s="13">
        <v>0</v>
      </c>
      <c r="J1135" s="13">
        <v>1</v>
      </c>
      <c r="K1135" s="14" t="str">
        <f t="shared" ref="K1135:K1137" si="190">HYPERLINK("http://twitter.com/download/android","Twitter for Android")</f>
        <v>Twitter for Android</v>
      </c>
      <c r="L1135" s="13">
        <v>1662</v>
      </c>
      <c r="M1135" s="13">
        <v>1762</v>
      </c>
      <c r="N1135" s="13">
        <v>36</v>
      </c>
      <c r="O1135" s="15"/>
      <c r="P1135" s="6">
        <v>40781.966006944444</v>
      </c>
      <c r="Q1135" s="16" t="s">
        <v>3926</v>
      </c>
      <c r="R1135" s="17" t="s">
        <v>3927</v>
      </c>
      <c r="S1135" s="11" t="s">
        <v>3928</v>
      </c>
      <c r="T1135" s="12"/>
      <c r="U1135" s="10" t="str">
        <f>HYPERLINK("https://pbs.twimg.com/profile_images/1070420950976552960/h5mwJMaj.jpg","View")</f>
        <v>View</v>
      </c>
    </row>
    <row r="1136" spans="1:21" ht="40.799999999999997">
      <c r="A1136" s="6">
        <v>43438.655300925922</v>
      </c>
      <c r="B1136" s="7" t="str">
        <f>HYPERLINK("https://twitter.com/SilLlejoc","@SilLlejoc")</f>
        <v>@SilLlejoc</v>
      </c>
      <c r="C1136" s="8" t="s">
        <v>3929</v>
      </c>
      <c r="D1136" s="9" t="s">
        <v>3930</v>
      </c>
      <c r="E1136" s="10" t="str">
        <f>HYPERLINK("https://twitter.com/SilLlejoc/status/1069965455119564800","1069965455119564800")</f>
        <v>1069965455119564800</v>
      </c>
      <c r="F1136" s="16" t="s">
        <v>3931</v>
      </c>
      <c r="G1136" s="12"/>
      <c r="H1136" s="12"/>
      <c r="I1136" s="13">
        <v>0</v>
      </c>
      <c r="J1136" s="13">
        <v>0</v>
      </c>
      <c r="K1136" s="14" t="str">
        <f t="shared" si="190"/>
        <v>Twitter for Android</v>
      </c>
      <c r="L1136" s="13">
        <v>952</v>
      </c>
      <c r="M1136" s="13">
        <v>1243</v>
      </c>
      <c r="N1136" s="13">
        <v>0</v>
      </c>
      <c r="O1136" s="15"/>
      <c r="P1136" s="6">
        <v>43140.403715277775</v>
      </c>
      <c r="Q1136" s="12"/>
      <c r="R1136" s="17" t="s">
        <v>3932</v>
      </c>
      <c r="S1136" s="12"/>
      <c r="T1136" s="12"/>
      <c r="U1136" s="10" t="str">
        <f>HYPERLINK("https://pbs.twimg.com/profile_images/1059080685426753538/XnJR1sYH.jpg","View")</f>
        <v>View</v>
      </c>
    </row>
    <row r="1137" spans="1:21" ht="71.400000000000006">
      <c r="A1137" s="6">
        <v>43438.648993055554</v>
      </c>
      <c r="B1137" s="7" t="str">
        <f>HYPERLINK("https://twitter.com/sindicalistacnp","@sindicalistacnp")</f>
        <v>@sindicalistacnp</v>
      </c>
      <c r="C1137" s="8" t="s">
        <v>3933</v>
      </c>
      <c r="D1137" s="9" t="s">
        <v>3934</v>
      </c>
      <c r="E1137" s="10" t="str">
        <f>HYPERLINK("https://twitter.com/sindicalistacnp/status/1069963172277297152","1069963172277297152")</f>
        <v>1069963172277297152</v>
      </c>
      <c r="F1137" s="11" t="s">
        <v>3935</v>
      </c>
      <c r="G1137" s="11" t="s">
        <v>3936</v>
      </c>
      <c r="H1137" s="12"/>
      <c r="I1137" s="13">
        <v>0</v>
      </c>
      <c r="J1137" s="13">
        <v>0</v>
      </c>
      <c r="K1137" s="14" t="str">
        <f t="shared" si="190"/>
        <v>Twitter for Android</v>
      </c>
      <c r="L1137" s="13">
        <v>1978</v>
      </c>
      <c r="M1137" s="13">
        <v>1957</v>
      </c>
      <c r="N1137" s="13">
        <v>60</v>
      </c>
      <c r="O1137" s="15"/>
      <c r="P1137" s="6">
        <v>42395.782233796301</v>
      </c>
      <c r="Q1137" s="16" t="s">
        <v>3937</v>
      </c>
      <c r="R1137" s="17" t="s">
        <v>3938</v>
      </c>
      <c r="S1137" s="12"/>
      <c r="T1137" s="12"/>
      <c r="U1137" s="10" t="str">
        <f>HYPERLINK("https://pbs.twimg.com/profile_images/692070624982896640/Ry6C-Fol.jpg","View")</f>
        <v>View</v>
      </c>
    </row>
    <row r="1138" spans="1:21" ht="30.6">
      <c r="A1138" s="6">
        <v>43438.648923611108</v>
      </c>
      <c r="B1138" s="7" t="str">
        <f>HYPERLINK("https://twitter.com/DavidFerGon8","@DavidFerGon8")</f>
        <v>@DavidFerGon8</v>
      </c>
      <c r="C1138" s="8" t="s">
        <v>3939</v>
      </c>
      <c r="D1138" s="9" t="s">
        <v>3940</v>
      </c>
      <c r="E1138" s="10" t="str">
        <f>HYPERLINK("https://twitter.com/DavidFerGon8/status/1069963144867573761","1069963144867573761")</f>
        <v>1069963144867573761</v>
      </c>
      <c r="F1138" s="12"/>
      <c r="G1138" s="12"/>
      <c r="H1138" s="12"/>
      <c r="I1138" s="13">
        <v>0</v>
      </c>
      <c r="J1138" s="13">
        <v>0</v>
      </c>
      <c r="K1138" s="14" t="str">
        <f>HYPERLINK("http://twitter.com/#!/download/ipad","Twitter for iPad")</f>
        <v>Twitter for iPad</v>
      </c>
      <c r="L1138" s="13">
        <v>65</v>
      </c>
      <c r="M1138" s="13">
        <v>377</v>
      </c>
      <c r="N1138" s="13">
        <v>0</v>
      </c>
      <c r="O1138" s="15"/>
      <c r="P1138" s="6">
        <v>41513.014884259261</v>
      </c>
      <c r="Q1138" s="16" t="s">
        <v>3941</v>
      </c>
      <c r="R1138" s="17" t="s">
        <v>3942</v>
      </c>
      <c r="S1138" s="11" t="s">
        <v>3943</v>
      </c>
      <c r="T1138" s="12"/>
      <c r="U1138" s="10" t="str">
        <f>HYPERLINK("https://pbs.twimg.com/profile_images/1041637243700568064/6JDkZfZ7.jpg","View")</f>
        <v>View</v>
      </c>
    </row>
    <row r="1139" spans="1:21" ht="40.799999999999997">
      <c r="A1139" s="6">
        <v>43438.648402777777</v>
      </c>
      <c r="B1139" s="7" t="str">
        <f>HYPERLINK("https://twitter.com/_AnKris","@_AnKris")</f>
        <v>@_AnKris</v>
      </c>
      <c r="C1139" s="8" t="s">
        <v>3944</v>
      </c>
      <c r="D1139" s="9" t="s">
        <v>3945</v>
      </c>
      <c r="E1139" s="10" t="str">
        <f>HYPERLINK("https://twitter.com/_AnKris/status/1069962958355226624","1069962958355226624")</f>
        <v>1069962958355226624</v>
      </c>
      <c r="F1139" s="12"/>
      <c r="G1139" s="12"/>
      <c r="H1139" s="12"/>
      <c r="I1139" s="13">
        <v>0</v>
      </c>
      <c r="J1139" s="13">
        <v>0</v>
      </c>
      <c r="K1139" s="14" t="str">
        <f>HYPERLINK("http://twitter.com/download/iphone","Twitter for iPhone")</f>
        <v>Twitter for iPhone</v>
      </c>
      <c r="L1139" s="13">
        <v>98</v>
      </c>
      <c r="M1139" s="13">
        <v>642</v>
      </c>
      <c r="N1139" s="13">
        <v>2</v>
      </c>
      <c r="O1139" s="15"/>
      <c r="P1139" s="6">
        <v>41249.431435185186</v>
      </c>
      <c r="Q1139" s="16" t="s">
        <v>1130</v>
      </c>
      <c r="R1139" s="17" t="s">
        <v>3946</v>
      </c>
      <c r="S1139" s="11" t="s">
        <v>3947</v>
      </c>
      <c r="T1139" s="12"/>
      <c r="U1139" s="10" t="str">
        <f>HYPERLINK("https://pbs.twimg.com/profile_images/1071161898182299648/-TQDEcRn.jpg","View")</f>
        <v>View</v>
      </c>
    </row>
    <row r="1140" spans="1:21" ht="20.399999999999999">
      <c r="A1140" s="6">
        <v>43438.647314814814</v>
      </c>
      <c r="B1140" s="7" t="str">
        <f t="shared" ref="B1140:B1141" si="191">HYPERLINK("https://twitter.com/miketakasi","@miketakasi")</f>
        <v>@miketakasi</v>
      </c>
      <c r="C1140" s="8" t="s">
        <v>3948</v>
      </c>
      <c r="D1140" s="9" t="s">
        <v>3949</v>
      </c>
      <c r="E1140" s="10" t="str">
        <f>HYPERLINK("https://twitter.com/miketakasi/status/1069962560735076352","1069962560735076352")</f>
        <v>1069962560735076352</v>
      </c>
      <c r="F1140" s="11" t="s">
        <v>3950</v>
      </c>
      <c r="G1140" s="12"/>
      <c r="H1140" s="12"/>
      <c r="I1140" s="13">
        <v>0</v>
      </c>
      <c r="J1140" s="13">
        <v>0</v>
      </c>
      <c r="K1140" s="14" t="str">
        <f t="shared" ref="K1140:K1141" si="192">HYPERLINK("http://www.facebook.com/twitter","Facebook")</f>
        <v>Facebook</v>
      </c>
      <c r="L1140" s="13">
        <v>983</v>
      </c>
      <c r="M1140" s="13">
        <v>2132</v>
      </c>
      <c r="N1140" s="13">
        <v>30</v>
      </c>
      <c r="O1140" s="15"/>
      <c r="P1140" s="6">
        <v>41058.367141203707</v>
      </c>
      <c r="Q1140" s="12"/>
      <c r="R1140" s="17" t="s">
        <v>3951</v>
      </c>
      <c r="S1140" s="12"/>
      <c r="T1140" s="12"/>
      <c r="U1140" s="10" t="str">
        <f t="shared" ref="U1140:U1141" si="193">HYPERLINK("https://pbs.twimg.com/profile_images/2371305097/w7nc9lkv5zp0cnexr31j.jpeg","View")</f>
        <v>View</v>
      </c>
    </row>
    <row r="1141" spans="1:21" ht="20.399999999999999">
      <c r="A1141" s="6">
        <v>43438.647152777776</v>
      </c>
      <c r="B1141" s="7" t="str">
        <f t="shared" si="191"/>
        <v>@miketakasi</v>
      </c>
      <c r="C1141" s="8" t="s">
        <v>3948</v>
      </c>
      <c r="D1141" s="9" t="s">
        <v>3608</v>
      </c>
      <c r="E1141" s="10" t="str">
        <f>HYPERLINK("https://twitter.com/miketakasi/status/1069962504296554496","1069962504296554496")</f>
        <v>1069962504296554496</v>
      </c>
      <c r="F1141" s="11" t="s">
        <v>3609</v>
      </c>
      <c r="G1141" s="12"/>
      <c r="H1141" s="12"/>
      <c r="I1141" s="13">
        <v>0</v>
      </c>
      <c r="J1141" s="13">
        <v>0</v>
      </c>
      <c r="K1141" s="14" t="str">
        <f t="shared" si="192"/>
        <v>Facebook</v>
      </c>
      <c r="L1141" s="13">
        <v>983</v>
      </c>
      <c r="M1141" s="13">
        <v>2132</v>
      </c>
      <c r="N1141" s="13">
        <v>30</v>
      </c>
      <c r="O1141" s="15"/>
      <c r="P1141" s="6">
        <v>41058.367141203707</v>
      </c>
      <c r="Q1141" s="12"/>
      <c r="R1141" s="17" t="s">
        <v>3951</v>
      </c>
      <c r="S1141" s="12"/>
      <c r="T1141" s="12"/>
      <c r="U1141" s="10" t="str">
        <f t="shared" si="193"/>
        <v>View</v>
      </c>
    </row>
    <row r="1142" spans="1:21" ht="30.6">
      <c r="A1142" s="6">
        <v>43438.647118055553</v>
      </c>
      <c r="B1142" s="7" t="str">
        <f>HYPERLINK("https://twitter.com/LuisaoMoratalla","@LuisaoMoratalla")</f>
        <v>@LuisaoMoratalla</v>
      </c>
      <c r="C1142" s="8" t="s">
        <v>3952</v>
      </c>
      <c r="D1142" s="9" t="s">
        <v>3953</v>
      </c>
      <c r="E1142" s="10" t="str">
        <f>HYPERLINK("https://twitter.com/LuisaoMoratalla/status/1069962492196073473","1069962492196073473")</f>
        <v>1069962492196073473</v>
      </c>
      <c r="F1142" s="12"/>
      <c r="G1142" s="12"/>
      <c r="H1142" s="12"/>
      <c r="I1142" s="13">
        <v>34</v>
      </c>
      <c r="J1142" s="13">
        <v>42</v>
      </c>
      <c r="K1142" s="14" t="str">
        <f>HYPERLINK("http://twitter.com/download/android","Twitter for Android")</f>
        <v>Twitter for Android</v>
      </c>
      <c r="L1142" s="13">
        <v>17356</v>
      </c>
      <c r="M1142" s="13">
        <v>996</v>
      </c>
      <c r="N1142" s="13">
        <v>182</v>
      </c>
      <c r="O1142" s="15"/>
      <c r="P1142" s="6">
        <v>39688.076701388891</v>
      </c>
      <c r="Q1142" s="16" t="s">
        <v>3954</v>
      </c>
      <c r="R1142" s="17" t="s">
        <v>3955</v>
      </c>
      <c r="S1142" s="12"/>
      <c r="T1142" s="12"/>
      <c r="U1142" s="10" t="str">
        <f>HYPERLINK("https://pbs.twimg.com/profile_images/2086342866/marianico.jpg","View")</f>
        <v>View</v>
      </c>
    </row>
    <row r="1143" spans="1:21" ht="30.6">
      <c r="A1143" s="6">
        <v>43438.642754629633</v>
      </c>
      <c r="B1143" s="7" t="str">
        <f>HYPERLINK("https://twitter.com/JuanLuisOrtegaG","@JuanLuisOrtegaG")</f>
        <v>@JuanLuisOrtegaG</v>
      </c>
      <c r="C1143" s="8" t="s">
        <v>3956</v>
      </c>
      <c r="D1143" s="9" t="s">
        <v>3957</v>
      </c>
      <c r="E1143" s="10" t="str">
        <f>HYPERLINK("https://twitter.com/JuanLuisOrtegaG/status/1069960909429329922","1069960909429329922")</f>
        <v>1069960909429329922</v>
      </c>
      <c r="F1143" s="12"/>
      <c r="G1143" s="12"/>
      <c r="H1143" s="12"/>
      <c r="I1143" s="13">
        <v>1</v>
      </c>
      <c r="J1143" s="13">
        <v>1</v>
      </c>
      <c r="K1143" s="14" t="str">
        <f t="shared" ref="K1143:K1144" si="194">HYPERLINK("http://twitter.com","Twitter Web Client")</f>
        <v>Twitter Web Client</v>
      </c>
      <c r="L1143" s="13">
        <v>15852</v>
      </c>
      <c r="M1143" s="13">
        <v>11017</v>
      </c>
      <c r="N1143" s="13">
        <v>101</v>
      </c>
      <c r="O1143" s="15"/>
      <c r="P1143" s="6">
        <v>39784.981215277774</v>
      </c>
      <c r="Q1143" s="16" t="s">
        <v>3958</v>
      </c>
      <c r="R1143" s="17" t="s">
        <v>3959</v>
      </c>
      <c r="S1143" s="12"/>
      <c r="T1143" s="12"/>
      <c r="U1143" s="10" t="str">
        <f>HYPERLINK("https://pbs.twimg.com/profile_images/485124916488843264/BOiVAIFY.jpeg","View")</f>
        <v>View</v>
      </c>
    </row>
    <row r="1144" spans="1:21" ht="30.6">
      <c r="A1144" s="6">
        <v>43438.639849537038</v>
      </c>
      <c r="B1144" s="7" t="str">
        <f>HYPERLINK("https://twitter.com/Rantes2769","@Rantes2769")</f>
        <v>@Rantes2769</v>
      </c>
      <c r="C1144" s="8" t="s">
        <v>3960</v>
      </c>
      <c r="D1144" s="9" t="s">
        <v>3961</v>
      </c>
      <c r="E1144" s="10" t="str">
        <f>HYPERLINK("https://twitter.com/Rantes2769/status/1069959858873659393","1069959858873659393")</f>
        <v>1069959858873659393</v>
      </c>
      <c r="F1144" s="11" t="s">
        <v>3962</v>
      </c>
      <c r="G1144" s="12"/>
      <c r="H1144" s="12"/>
      <c r="I1144" s="13">
        <v>0</v>
      </c>
      <c r="J1144" s="13">
        <v>0</v>
      </c>
      <c r="K1144" s="14" t="str">
        <f t="shared" si="194"/>
        <v>Twitter Web Client</v>
      </c>
      <c r="L1144" s="13">
        <v>1708</v>
      </c>
      <c r="M1144" s="13">
        <v>2361</v>
      </c>
      <c r="N1144" s="13">
        <v>7</v>
      </c>
      <c r="O1144" s="15"/>
      <c r="P1144" s="6">
        <v>42377.53292824074</v>
      </c>
      <c r="Q1144" s="12"/>
      <c r="R1144" s="20"/>
      <c r="S1144" s="12"/>
      <c r="T1144" s="12"/>
      <c r="U1144" s="10" t="str">
        <f>HYPERLINK("https://pbs.twimg.com/profile_images/685439812204126212/IjmVz-_U.jpg","View")</f>
        <v>View</v>
      </c>
    </row>
    <row r="1145" spans="1:21" ht="20.399999999999999">
      <c r="A1145" s="6">
        <v>43438.638888888891</v>
      </c>
      <c r="B1145" s="7" t="str">
        <f>HYPERLINK("https://twitter.com/RevistaZeta","@RevistaZeta")</f>
        <v>@RevistaZeta</v>
      </c>
      <c r="C1145" s="8" t="s">
        <v>3963</v>
      </c>
      <c r="D1145" s="9" t="s">
        <v>3964</v>
      </c>
      <c r="E1145" s="10" t="str">
        <f>HYPERLINK("https://twitter.com/RevistaZeta/status/1069959508892495873","1069959508892495873")</f>
        <v>1069959508892495873</v>
      </c>
      <c r="F1145" s="11" t="s">
        <v>3965</v>
      </c>
      <c r="G1145" s="11" t="s">
        <v>3966</v>
      </c>
      <c r="H1145" s="12"/>
      <c r="I1145" s="13">
        <v>0</v>
      </c>
      <c r="J1145" s="13">
        <v>0</v>
      </c>
      <c r="K1145" s="14" t="str">
        <f>HYPERLINK("https://about.twitter.com/products/tweetdeck","TweetDeck")</f>
        <v>TweetDeck</v>
      </c>
      <c r="L1145" s="13">
        <v>12014</v>
      </c>
      <c r="M1145" s="13">
        <v>279</v>
      </c>
      <c r="N1145" s="13">
        <v>164</v>
      </c>
      <c r="O1145" s="15"/>
      <c r="P1145" s="6">
        <v>40196.747546296298</v>
      </c>
      <c r="Q1145" s="16" t="s">
        <v>3648</v>
      </c>
      <c r="R1145" s="17" t="s">
        <v>3967</v>
      </c>
      <c r="S1145" s="11" t="s">
        <v>3968</v>
      </c>
      <c r="T1145" s="12"/>
      <c r="U1145" s="10" t="str">
        <f>HYPERLINK("https://pbs.twimg.com/profile_images/1057992583350239232/njnII24e.jpg","View")</f>
        <v>View</v>
      </c>
    </row>
    <row r="1146" spans="1:21" ht="30.6">
      <c r="A1146" s="6">
        <v>43438.63857638889</v>
      </c>
      <c r="B1146" s="7" t="str">
        <f>HYPERLINK("https://twitter.com/sonia9603","@sonia9603")</f>
        <v>@sonia9603</v>
      </c>
      <c r="C1146" s="8" t="s">
        <v>3969</v>
      </c>
      <c r="D1146" s="9" t="s">
        <v>3970</v>
      </c>
      <c r="E1146" s="10" t="str">
        <f>HYPERLINK("https://twitter.com/sonia9603/status/1069959397282066433","1069959397282066433")</f>
        <v>1069959397282066433</v>
      </c>
      <c r="F1146" s="12"/>
      <c r="G1146" s="12"/>
      <c r="H1146" s="12"/>
      <c r="I1146" s="13">
        <v>0</v>
      </c>
      <c r="J1146" s="13">
        <v>0</v>
      </c>
      <c r="K1146" s="14" t="str">
        <f t="shared" ref="K1146:K1147" si="195">HYPERLINK("http://twitter.com/download/android","Twitter for Android")</f>
        <v>Twitter for Android</v>
      </c>
      <c r="L1146" s="13">
        <v>1133</v>
      </c>
      <c r="M1146" s="13">
        <v>2231</v>
      </c>
      <c r="N1146" s="13">
        <v>23</v>
      </c>
      <c r="O1146" s="15"/>
      <c r="P1146" s="6">
        <v>40743.399479166663</v>
      </c>
      <c r="Q1146" s="12"/>
      <c r="R1146" s="17" t="s">
        <v>3971</v>
      </c>
      <c r="S1146" s="12"/>
      <c r="T1146" s="12"/>
      <c r="U1146" s="10" t="str">
        <f>HYPERLINK("https://pbs.twimg.com/profile_images/1895950659/Picture0548.jpg","View")</f>
        <v>View</v>
      </c>
    </row>
    <row r="1147" spans="1:21" ht="20.399999999999999">
      <c r="A1147" s="6">
        <v>43438.637118055558</v>
      </c>
      <c r="B1147" s="7" t="str">
        <f>HYPERLINK("https://twitter.com/andreasolana98","@andreasolana98")</f>
        <v>@andreasolana98</v>
      </c>
      <c r="C1147" s="8" t="s">
        <v>3972</v>
      </c>
      <c r="D1147" s="9" t="s">
        <v>3973</v>
      </c>
      <c r="E1147" s="10" t="str">
        <f>HYPERLINK("https://twitter.com/andreasolana98/status/1069958869173063680","1069958869173063680")</f>
        <v>1069958869173063680</v>
      </c>
      <c r="F1147" s="12"/>
      <c r="G1147" s="12"/>
      <c r="H1147" s="12"/>
      <c r="I1147" s="13">
        <v>0</v>
      </c>
      <c r="J1147" s="13">
        <v>0</v>
      </c>
      <c r="K1147" s="14" t="str">
        <f t="shared" si="195"/>
        <v>Twitter for Android</v>
      </c>
      <c r="L1147" s="13">
        <v>459</v>
      </c>
      <c r="M1147" s="13">
        <v>509</v>
      </c>
      <c r="N1147" s="13">
        <v>1</v>
      </c>
      <c r="O1147" s="15"/>
      <c r="P1147" s="6">
        <v>41142.858206018514</v>
      </c>
      <c r="Q1147" s="16" t="s">
        <v>3974</v>
      </c>
      <c r="R1147" s="17" t="s">
        <v>3975</v>
      </c>
      <c r="S1147" s="12"/>
      <c r="T1147" s="12"/>
      <c r="U1147" s="10" t="str">
        <f>HYPERLINK("https://pbs.twimg.com/profile_images/1038130070676824064/wpQ4I_l-.jpg","View")</f>
        <v>View</v>
      </c>
    </row>
    <row r="1148" spans="1:21" ht="40.799999999999997">
      <c r="A1148" s="6">
        <v>43438.635520833333</v>
      </c>
      <c r="B1148" s="7" t="str">
        <f>HYPERLINK("https://twitter.com/lextresabogados","@lextresabogados")</f>
        <v>@lextresabogados</v>
      </c>
      <c r="C1148" s="8" t="s">
        <v>1379</v>
      </c>
      <c r="D1148" s="9" t="s">
        <v>3976</v>
      </c>
      <c r="E1148" s="10" t="str">
        <f>HYPERLINK("https://twitter.com/lextresabogados/status/1069958289214095360","1069958289214095360")</f>
        <v>1069958289214095360</v>
      </c>
      <c r="F1148" s="11" t="s">
        <v>3977</v>
      </c>
      <c r="G1148" s="12"/>
      <c r="H1148" s="12"/>
      <c r="I1148" s="13">
        <v>0</v>
      </c>
      <c r="J1148" s="13">
        <v>0</v>
      </c>
      <c r="K1148" s="14" t="str">
        <f>HYPERLINK("http://35.180.36.179","botize nueva")</f>
        <v>botize nueva</v>
      </c>
      <c r="L1148" s="13">
        <v>2912</v>
      </c>
      <c r="M1148" s="13">
        <v>3525</v>
      </c>
      <c r="N1148" s="13">
        <v>26</v>
      </c>
      <c r="O1148" s="15"/>
      <c r="P1148" s="6">
        <v>42880.770949074074</v>
      </c>
      <c r="Q1148" s="16" t="s">
        <v>1130</v>
      </c>
      <c r="R1148" s="17" t="s">
        <v>1383</v>
      </c>
      <c r="S1148" s="11" t="s">
        <v>1384</v>
      </c>
      <c r="T1148" s="12"/>
      <c r="U1148" s="10" t="str">
        <f>HYPERLINK("https://pbs.twimg.com/profile_images/1068056978679898113/YnjKwiVy.jpg","View")</f>
        <v>View</v>
      </c>
    </row>
    <row r="1149" spans="1:21" ht="30.6">
      <c r="A1149" s="6">
        <v>43438.634062500001</v>
      </c>
      <c r="B1149" s="7" t="str">
        <f>HYPERLINK("https://twitter.com/PilarHLuc","@PilarHLuc")</f>
        <v>@PilarHLuc</v>
      </c>
      <c r="C1149" s="8" t="s">
        <v>1223</v>
      </c>
      <c r="D1149" s="9" t="s">
        <v>3978</v>
      </c>
      <c r="E1149" s="10" t="str">
        <f>HYPERLINK("https://twitter.com/PilarHLuc/status/1069957758081007616","1069957758081007616")</f>
        <v>1069957758081007616</v>
      </c>
      <c r="F1149" s="12"/>
      <c r="G1149" s="11" t="s">
        <v>3979</v>
      </c>
      <c r="H1149" s="12"/>
      <c r="I1149" s="13">
        <v>19</v>
      </c>
      <c r="J1149" s="13">
        <v>15</v>
      </c>
      <c r="K1149" s="14" t="str">
        <f>HYPERLINK("http://twitter.com/download/iphone","Twitter for iPhone")</f>
        <v>Twitter for iPhone</v>
      </c>
      <c r="L1149" s="13">
        <v>18664</v>
      </c>
      <c r="M1149" s="13">
        <v>2485</v>
      </c>
      <c r="N1149" s="13">
        <v>192</v>
      </c>
      <c r="O1149" s="15"/>
      <c r="P1149" s="6">
        <v>40717.584317129629</v>
      </c>
      <c r="Q1149" s="12"/>
      <c r="R1149" s="17" t="s">
        <v>1226</v>
      </c>
      <c r="S1149" s="12"/>
      <c r="T1149" s="12"/>
      <c r="U1149" s="10" t="str">
        <f>HYPERLINK("https://pbs.twimg.com/profile_images/1005542787985690624/Hpi3Huaq.jpg","View")</f>
        <v>View</v>
      </c>
    </row>
    <row r="1150" spans="1:21" ht="40.799999999999997">
      <c r="A1150" s="6">
        <v>43438.63349537037</v>
      </c>
      <c r="B1150" s="7" t="str">
        <f>HYPERLINK("https://twitter.com/_Gafas_y_reloj_","@_Gafas_y_reloj_")</f>
        <v>@_Gafas_y_reloj_</v>
      </c>
      <c r="C1150" s="8" t="s">
        <v>140</v>
      </c>
      <c r="D1150" s="9" t="s">
        <v>3980</v>
      </c>
      <c r="E1150" s="10" t="str">
        <f>HYPERLINK("https://twitter.com/_Gafas_y_reloj_/status/1069957554078396417","1069957554078396417")</f>
        <v>1069957554078396417</v>
      </c>
      <c r="F1150" s="16" t="s">
        <v>3501</v>
      </c>
      <c r="G1150" s="12"/>
      <c r="H1150" s="12"/>
      <c r="I1150" s="13">
        <v>1</v>
      </c>
      <c r="J1150" s="13">
        <v>2</v>
      </c>
      <c r="K1150" s="14" t="str">
        <f>HYPERLINK("http://twitter.com/download/android","Twitter for Android")</f>
        <v>Twitter for Android</v>
      </c>
      <c r="L1150" s="13">
        <v>11839</v>
      </c>
      <c r="M1150" s="13">
        <v>718</v>
      </c>
      <c r="N1150" s="13">
        <v>194</v>
      </c>
      <c r="O1150" s="15"/>
      <c r="P1150" s="6">
        <v>40803.430173611108</v>
      </c>
      <c r="Q1150" s="16" t="s">
        <v>145</v>
      </c>
      <c r="R1150" s="17" t="s">
        <v>147</v>
      </c>
      <c r="S1150" s="12"/>
      <c r="T1150" s="12"/>
      <c r="U1150" s="10" t="str">
        <f>HYPERLINK("https://pbs.twimg.com/profile_images/923940667965038593/LEd9tLut.jpg","View")</f>
        <v>View</v>
      </c>
    </row>
    <row r="1151" spans="1:21" ht="81.599999999999994">
      <c r="A1151" s="6">
        <v>43438.633148148147</v>
      </c>
      <c r="B1151" s="7" t="str">
        <f>HYPERLINK("https://twitter.com/MiquelBonet_","@MiquelBonet_")</f>
        <v>@MiquelBonet_</v>
      </c>
      <c r="C1151" s="8" t="s">
        <v>3981</v>
      </c>
      <c r="D1151" s="9" t="s">
        <v>3982</v>
      </c>
      <c r="E1151" s="10" t="str">
        <f>HYPERLINK("https://twitter.com/MiquelBonet_/status/1069957428299599873","1069957428299599873")</f>
        <v>1069957428299599873</v>
      </c>
      <c r="F1151" s="16" t="s">
        <v>3983</v>
      </c>
      <c r="G1151" s="12"/>
      <c r="H1151" s="12"/>
      <c r="I1151" s="13">
        <v>2</v>
      </c>
      <c r="J1151" s="13">
        <v>7</v>
      </c>
      <c r="K1151" s="14" t="str">
        <f>HYPERLINK("http://twitter.com","Twitter Web Client")</f>
        <v>Twitter Web Client</v>
      </c>
      <c r="L1151" s="13">
        <v>4214</v>
      </c>
      <c r="M1151" s="13">
        <v>431</v>
      </c>
      <c r="N1151" s="13">
        <v>69</v>
      </c>
      <c r="O1151" s="15"/>
      <c r="P1151" s="6">
        <v>39532.463541666664</v>
      </c>
      <c r="Q1151" s="16" t="s">
        <v>3984</v>
      </c>
      <c r="R1151" s="17" t="s">
        <v>3985</v>
      </c>
      <c r="S1151" s="11" t="s">
        <v>3986</v>
      </c>
      <c r="T1151" s="12"/>
      <c r="U1151" s="10" t="str">
        <f>HYPERLINK("https://pbs.twimg.com/profile_images/1003029869406670848/xucJZsSr.jpg","View")</f>
        <v>View</v>
      </c>
    </row>
    <row r="1152" spans="1:21" ht="51">
      <c r="A1152" s="6">
        <v>43438.633009259254</v>
      </c>
      <c r="B1152" s="7" t="str">
        <f>HYPERLINK("https://twitter.com/Sevilla24H","@Sevilla24H")</f>
        <v>@Sevilla24H</v>
      </c>
      <c r="C1152" s="8" t="s">
        <v>2984</v>
      </c>
      <c r="D1152" s="9" t="s">
        <v>3987</v>
      </c>
      <c r="E1152" s="10" t="str">
        <f>HYPERLINK("https://twitter.com/Sevilla24H/status/1069957376856547329","1069957376856547329")</f>
        <v>1069957376856547329</v>
      </c>
      <c r="F1152" s="11" t="s">
        <v>3988</v>
      </c>
      <c r="G1152" s="12"/>
      <c r="H1152" s="12"/>
      <c r="I1152" s="13">
        <v>0</v>
      </c>
      <c r="J1152" s="13">
        <v>0</v>
      </c>
      <c r="K1152" s="14" t="str">
        <f>HYPERLINK("https://ifttt.com","IFTTT")</f>
        <v>IFTTT</v>
      </c>
      <c r="L1152" s="13">
        <v>511</v>
      </c>
      <c r="M1152" s="13">
        <v>750</v>
      </c>
      <c r="N1152" s="13">
        <v>11</v>
      </c>
      <c r="O1152" s="15"/>
      <c r="P1152" s="6">
        <v>41294.599583333329</v>
      </c>
      <c r="Q1152" s="16" t="s">
        <v>1171</v>
      </c>
      <c r="R1152" s="17" t="s">
        <v>2987</v>
      </c>
      <c r="S1152" s="11" t="s">
        <v>2988</v>
      </c>
      <c r="T1152" s="12"/>
      <c r="U1152" s="10" t="str">
        <f>HYPERLINK("https://pbs.twimg.com/profile_images/833777334108975104/fgeZLBXg.jpg","View")</f>
        <v>View</v>
      </c>
    </row>
    <row r="1153" spans="1:21" ht="13.2">
      <c r="A1153" s="6">
        <v>43438.632754629631</v>
      </c>
      <c r="B1153" s="7" t="str">
        <f>HYPERLINK("https://twitter.com/BegotxuBoo","@BegotxuBoo")</f>
        <v>@BegotxuBoo</v>
      </c>
      <c r="C1153" s="8" t="s">
        <v>3989</v>
      </c>
      <c r="D1153" s="9" t="s">
        <v>3990</v>
      </c>
      <c r="E1153" s="10" t="str">
        <f>HYPERLINK("https://twitter.com/BegotxuBoo/status/1069957286276272128","1069957286276272128")</f>
        <v>1069957286276272128</v>
      </c>
      <c r="F1153" s="12"/>
      <c r="G1153" s="11" t="s">
        <v>3991</v>
      </c>
      <c r="H1153" s="12"/>
      <c r="I1153" s="13">
        <v>0</v>
      </c>
      <c r="J1153" s="13">
        <v>6</v>
      </c>
      <c r="K1153" s="14" t="str">
        <f>HYPERLINK("http://twitter.com/download/android","Twitter for Android")</f>
        <v>Twitter for Android</v>
      </c>
      <c r="L1153" s="13">
        <v>13707</v>
      </c>
      <c r="M1153" s="13">
        <v>626</v>
      </c>
      <c r="N1153" s="13">
        <v>153</v>
      </c>
      <c r="O1153" s="15"/>
      <c r="P1153" s="6">
        <v>41150.535833333335</v>
      </c>
      <c r="Q1153" s="12"/>
      <c r="R1153" s="17" t="s">
        <v>3992</v>
      </c>
      <c r="S1153" s="12"/>
      <c r="T1153" s="12"/>
      <c r="U1153" s="10" t="str">
        <f>HYPERLINK("https://pbs.twimg.com/profile_images/534266200818483200/_78fiChL.jpeg","View")</f>
        <v>View</v>
      </c>
    </row>
    <row r="1154" spans="1:21" ht="20.399999999999999">
      <c r="A1154" s="6">
        <v>43438.631944444445</v>
      </c>
      <c r="B1154" s="7" t="str">
        <f>HYPERLINK("https://twitter.com/elconfidencial","@elconfidencial")</f>
        <v>@elconfidencial</v>
      </c>
      <c r="C1154" s="8" t="s">
        <v>3993</v>
      </c>
      <c r="D1154" s="9" t="s">
        <v>3912</v>
      </c>
      <c r="E1154" s="10" t="str">
        <f>HYPERLINK("https://twitter.com/elconfidencial/status/1069956991957618688","1069956991957618688")</f>
        <v>1069956991957618688</v>
      </c>
      <c r="F1154" s="11" t="s">
        <v>3977</v>
      </c>
      <c r="G1154" s="12"/>
      <c r="H1154" s="12"/>
      <c r="I1154" s="13">
        <v>6</v>
      </c>
      <c r="J1154" s="13">
        <v>5</v>
      </c>
      <c r="K1154" s="14" t="str">
        <f>HYPERLINK("https://about.twitter.com/products/tweetdeck","TweetDeck")</f>
        <v>TweetDeck</v>
      </c>
      <c r="L1154" s="13">
        <v>765913</v>
      </c>
      <c r="M1154" s="13">
        <v>183</v>
      </c>
      <c r="N1154" s="13">
        <v>11126</v>
      </c>
      <c r="O1154" s="19" t="s">
        <v>44</v>
      </c>
      <c r="P1154" s="6">
        <v>39759.468657407408</v>
      </c>
      <c r="Q1154" s="16" t="s">
        <v>3994</v>
      </c>
      <c r="R1154" s="17" t="s">
        <v>3995</v>
      </c>
      <c r="S1154" s="11" t="s">
        <v>3996</v>
      </c>
      <c r="T1154" s="12"/>
      <c r="U1154" s="10" t="str">
        <f>HYPERLINK("https://pbs.twimg.com/profile_images/831498645476356097/TVsVGq4W.jpg","View")</f>
        <v>View</v>
      </c>
    </row>
    <row r="1155" spans="1:21" ht="30.6">
      <c r="A1155" s="6">
        <v>43438.630625000005</v>
      </c>
      <c r="B1155" s="7" t="str">
        <f>HYPERLINK("https://twitter.com/MusicalQuotesFb","@MusicalQuotesFb")</f>
        <v>@MusicalQuotesFb</v>
      </c>
      <c r="C1155" s="8" t="s">
        <v>3997</v>
      </c>
      <c r="D1155" s="9" t="s">
        <v>3597</v>
      </c>
      <c r="E1155" s="10" t="str">
        <f>HYPERLINK("https://twitter.com/MusicalQuotesFb/status/1069956512456437760","1069956512456437760")</f>
        <v>1069956512456437760</v>
      </c>
      <c r="F1155" s="11" t="s">
        <v>3998</v>
      </c>
      <c r="G1155" s="11" t="s">
        <v>3999</v>
      </c>
      <c r="H1155" s="12"/>
      <c r="I1155" s="13">
        <v>0</v>
      </c>
      <c r="J1155" s="13">
        <v>0</v>
      </c>
      <c r="K1155" s="14" t="str">
        <f>HYPERLINK("https://dlvrit.com/","dlvr.it")</f>
        <v>dlvr.it</v>
      </c>
      <c r="L1155" s="13">
        <v>2065</v>
      </c>
      <c r="M1155" s="13">
        <v>74</v>
      </c>
      <c r="N1155" s="13">
        <v>33</v>
      </c>
      <c r="O1155" s="15"/>
      <c r="P1155" s="6">
        <v>41052.636747685188</v>
      </c>
      <c r="Q1155" s="12"/>
      <c r="R1155" s="17" t="s">
        <v>4000</v>
      </c>
      <c r="S1155" s="12"/>
      <c r="T1155" s="12"/>
      <c r="U1155" s="10" t="str">
        <f>HYPERLINK("https://pbs.twimg.com/profile_images/671835665823375360/9jwhbwy4.jpg","View")</f>
        <v>View</v>
      </c>
    </row>
    <row r="1156" spans="1:21" ht="40.799999999999997">
      <c r="A1156" s="6">
        <v>43438.628553240742</v>
      </c>
      <c r="B1156" s="7" t="str">
        <f>HYPERLINK("https://twitter.com/PilarHLuc","@PilarHLuc")</f>
        <v>@PilarHLuc</v>
      </c>
      <c r="C1156" s="8" t="s">
        <v>1223</v>
      </c>
      <c r="D1156" s="9" t="s">
        <v>4001</v>
      </c>
      <c r="E1156" s="10" t="str">
        <f>HYPERLINK("https://twitter.com/PilarHLuc/status/1069955763941052416","1069955763941052416")</f>
        <v>1069955763941052416</v>
      </c>
      <c r="F1156" s="11" t="s">
        <v>3214</v>
      </c>
      <c r="G1156" s="12"/>
      <c r="H1156" s="12"/>
      <c r="I1156" s="13">
        <v>71</v>
      </c>
      <c r="J1156" s="13">
        <v>48</v>
      </c>
      <c r="K1156" s="14" t="str">
        <f>HYPERLINK("http://twitter.com/download/iphone","Twitter for iPhone")</f>
        <v>Twitter for iPhone</v>
      </c>
      <c r="L1156" s="13">
        <v>18664</v>
      </c>
      <c r="M1156" s="13">
        <v>2485</v>
      </c>
      <c r="N1156" s="13">
        <v>192</v>
      </c>
      <c r="O1156" s="15"/>
      <c r="P1156" s="6">
        <v>40717.584317129629</v>
      </c>
      <c r="Q1156" s="12"/>
      <c r="R1156" s="17" t="s">
        <v>1226</v>
      </c>
      <c r="S1156" s="12"/>
      <c r="T1156" s="12"/>
      <c r="U1156" s="10" t="str">
        <f>HYPERLINK("https://pbs.twimg.com/profile_images/1005542787985690624/Hpi3Huaq.jpg","View")</f>
        <v>View</v>
      </c>
    </row>
    <row r="1157" spans="1:21" ht="40.799999999999997">
      <c r="A1157" s="6">
        <v>43438.626736111109</v>
      </c>
      <c r="B1157" s="7" t="str">
        <f>HYPERLINK("https://twitter.com/elnacionalcat","@elnacionalcat")</f>
        <v>@elnacionalcat</v>
      </c>
      <c r="C1157" s="8" t="s">
        <v>4002</v>
      </c>
      <c r="D1157" s="9" t="s">
        <v>4003</v>
      </c>
      <c r="E1157" s="10" t="str">
        <f>HYPERLINK("https://twitter.com/elnacionalcat/status/1069955103073951745","1069955103073951745")</f>
        <v>1069955103073951745</v>
      </c>
      <c r="F1157" s="11" t="s">
        <v>4004</v>
      </c>
      <c r="G1157" s="12"/>
      <c r="H1157" s="12"/>
      <c r="I1157" s="13">
        <v>2</v>
      </c>
      <c r="J1157" s="13">
        <v>1</v>
      </c>
      <c r="K1157" s="14" t="str">
        <f>HYPERLINK("http://www.wearebab.com","Comitium5 BAB")</f>
        <v>Comitium5 BAB</v>
      </c>
      <c r="L1157" s="13">
        <v>104171</v>
      </c>
      <c r="M1157" s="13">
        <v>575</v>
      </c>
      <c r="N1157" s="13">
        <v>1190</v>
      </c>
      <c r="O1157" s="19" t="s">
        <v>44</v>
      </c>
      <c r="P1157" s="6">
        <v>42198.950173611112</v>
      </c>
      <c r="Q1157" s="12"/>
      <c r="R1157" s="17" t="s">
        <v>4005</v>
      </c>
      <c r="S1157" s="11" t="s">
        <v>4006</v>
      </c>
      <c r="T1157" s="12"/>
      <c r="U1157" s="10" t="str">
        <f>HYPERLINK("https://pbs.twimg.com/profile_images/641344204510138368/KnuPd5Hi.png","View")</f>
        <v>View</v>
      </c>
    </row>
    <row r="1158" spans="1:21" ht="30.6">
      <c r="A1158" s="6">
        <v>43438.625787037032</v>
      </c>
      <c r="B1158" s="7" t="str">
        <f>HYPERLINK("https://twitter.com/Davellanedar","@Davellanedar")</f>
        <v>@Davellanedar</v>
      </c>
      <c r="C1158" s="8" t="s">
        <v>4007</v>
      </c>
      <c r="D1158" s="9" t="s">
        <v>4008</v>
      </c>
      <c r="E1158" s="10" t="str">
        <f>HYPERLINK("https://twitter.com/Davellanedar/status/1069954760395120641","1069954760395120641")</f>
        <v>1069954760395120641</v>
      </c>
      <c r="F1158" s="11" t="s">
        <v>3256</v>
      </c>
      <c r="G1158" s="12"/>
      <c r="H1158" s="12"/>
      <c r="I1158" s="13">
        <v>0</v>
      </c>
      <c r="J1158" s="13">
        <v>1</v>
      </c>
      <c r="K1158" s="14" t="str">
        <f>HYPERLINK("http://twitter.com/download/android","Twitter for Android")</f>
        <v>Twitter for Android</v>
      </c>
      <c r="L1158" s="13">
        <v>21375</v>
      </c>
      <c r="M1158" s="13">
        <v>2640</v>
      </c>
      <c r="N1158" s="13">
        <v>145</v>
      </c>
      <c r="O1158" s="15"/>
      <c r="P1158" s="6">
        <v>41822.514861111107</v>
      </c>
      <c r="Q1158" s="16" t="s">
        <v>854</v>
      </c>
      <c r="R1158" s="17" t="s">
        <v>4009</v>
      </c>
      <c r="S1158" s="12"/>
      <c r="T1158" s="12"/>
      <c r="U1158" s="10" t="str">
        <f>HYPERLINK("https://pbs.twimg.com/profile_images/991332819740909568/g5Inwphn.jpg","View")</f>
        <v>View</v>
      </c>
    </row>
    <row r="1159" spans="1:21" ht="20.399999999999999">
      <c r="A1159" s="6">
        <v>43438.625694444447</v>
      </c>
      <c r="B1159" s="7" t="str">
        <f>HYPERLINK("https://twitter.com/jfh2651","@jfh2651")</f>
        <v>@jfh2651</v>
      </c>
      <c r="C1159" s="8" t="s">
        <v>4010</v>
      </c>
      <c r="D1159" s="9" t="s">
        <v>4011</v>
      </c>
      <c r="E1159" s="10" t="str">
        <f>HYPERLINK("https://twitter.com/jfh2651/status/1069954727025098753","1069954727025098753")</f>
        <v>1069954727025098753</v>
      </c>
      <c r="F1159" s="11" t="s">
        <v>4012</v>
      </c>
      <c r="G1159" s="12"/>
      <c r="H1159" s="12"/>
      <c r="I1159" s="13">
        <v>0</v>
      </c>
      <c r="J1159" s="13">
        <v>0</v>
      </c>
      <c r="K1159" s="14" t="str">
        <f>HYPERLINK("https://www.google.com/","Google")</f>
        <v>Google</v>
      </c>
      <c r="L1159" s="13">
        <v>6783</v>
      </c>
      <c r="M1159" s="13">
        <v>6258</v>
      </c>
      <c r="N1159" s="13">
        <v>51</v>
      </c>
      <c r="O1159" s="15"/>
      <c r="P1159" s="6">
        <v>39937.751134259262</v>
      </c>
      <c r="Q1159" s="16" t="s">
        <v>1438</v>
      </c>
      <c r="R1159" s="17" t="s">
        <v>4013</v>
      </c>
      <c r="S1159" s="11" t="s">
        <v>4014</v>
      </c>
      <c r="T1159" s="12"/>
      <c r="U1159" s="10" t="str">
        <f>HYPERLINK("https://pbs.twimg.com/profile_images/2250129029/Gary_Grant_2.jpg","View")</f>
        <v>View</v>
      </c>
    </row>
    <row r="1160" spans="1:21" ht="40.799999999999997">
      <c r="A1160" s="6">
        <v>43438.625462962962</v>
      </c>
      <c r="B1160" s="7" t="str">
        <f>HYPERLINK("https://twitter.com/adriaral","@adriaral")</f>
        <v>@adriaral</v>
      </c>
      <c r="C1160" s="8" t="s">
        <v>4015</v>
      </c>
      <c r="D1160" s="9" t="s">
        <v>4016</v>
      </c>
      <c r="E1160" s="10" t="str">
        <f>HYPERLINK("https://twitter.com/adriaral/status/1069954642392608770","1069954642392608770")</f>
        <v>1069954642392608770</v>
      </c>
      <c r="F1160" s="11" t="s">
        <v>1681</v>
      </c>
      <c r="G1160" s="12"/>
      <c r="H1160" s="12"/>
      <c r="I1160" s="13">
        <v>1</v>
      </c>
      <c r="J1160" s="13">
        <v>2</v>
      </c>
      <c r="K1160" s="14" t="str">
        <f t="shared" ref="K1160:K1161" si="196">HYPERLINK("http://twitter.com/download/android","Twitter for Android")</f>
        <v>Twitter for Android</v>
      </c>
      <c r="L1160" s="13">
        <v>3833</v>
      </c>
      <c r="M1160" s="13">
        <v>997</v>
      </c>
      <c r="N1160" s="13">
        <v>127</v>
      </c>
      <c r="O1160" s="15"/>
      <c r="P1160" s="6">
        <v>40533.018055555556</v>
      </c>
      <c r="Q1160" s="16" t="s">
        <v>1455</v>
      </c>
      <c r="R1160" s="17" t="s">
        <v>4017</v>
      </c>
      <c r="S1160" s="12"/>
      <c r="T1160" s="12"/>
      <c r="U1160" s="10" t="str">
        <f>HYPERLINK("https://pbs.twimg.com/profile_images/1050020940766212096/vHTcu9nT.jpg","View")</f>
        <v>View</v>
      </c>
    </row>
    <row r="1161" spans="1:21" ht="30.6">
      <c r="A1161" s="6">
        <v>43438.624513888892</v>
      </c>
      <c r="B1161" s="7" t="str">
        <f>HYPERLINK("https://twitter.com/lalyquear","@lalyquear")</f>
        <v>@lalyquear</v>
      </c>
      <c r="C1161" s="8" t="s">
        <v>4018</v>
      </c>
      <c r="D1161" s="9" t="s">
        <v>4019</v>
      </c>
      <c r="E1161" s="10" t="str">
        <f>HYPERLINK("https://twitter.com/lalyquear/status/1069954300053504000","1069954300053504000")</f>
        <v>1069954300053504000</v>
      </c>
      <c r="F1161" s="11" t="s">
        <v>3256</v>
      </c>
      <c r="G1161" s="12"/>
      <c r="H1161" s="12"/>
      <c r="I1161" s="13">
        <v>0</v>
      </c>
      <c r="J1161" s="13">
        <v>0</v>
      </c>
      <c r="K1161" s="14" t="str">
        <f t="shared" si="196"/>
        <v>Twitter for Android</v>
      </c>
      <c r="L1161" s="13">
        <v>1266</v>
      </c>
      <c r="M1161" s="13">
        <v>1052</v>
      </c>
      <c r="N1161" s="13">
        <v>56</v>
      </c>
      <c r="O1161" s="15"/>
      <c r="P1161" s="6">
        <v>40702.733171296299</v>
      </c>
      <c r="Q1161" s="16" t="s">
        <v>48</v>
      </c>
      <c r="R1161" s="17" t="s">
        <v>4020</v>
      </c>
      <c r="S1161" s="12"/>
      <c r="T1161" s="12"/>
      <c r="U1161" s="10" t="str">
        <f>HYPERLINK("https://pbs.twimg.com/profile_images/980729131758432266/hMXJsKBE.jpg","View")</f>
        <v>View</v>
      </c>
    </row>
    <row r="1162" spans="1:21" ht="13.2">
      <c r="A1162" s="6">
        <v>43438.619618055556</v>
      </c>
      <c r="B1162" s="7" t="str">
        <f>HYPERLINK("https://twitter.com/llewro","@llewro")</f>
        <v>@llewro</v>
      </c>
      <c r="C1162" s="8" t="s">
        <v>4021</v>
      </c>
      <c r="D1162" s="9" t="s">
        <v>4022</v>
      </c>
      <c r="E1162" s="10" t="str">
        <f>HYPERLINK("https://twitter.com/llewro/status/1069952525418291201","1069952525418291201")</f>
        <v>1069952525418291201</v>
      </c>
      <c r="F1162" s="11" t="s">
        <v>4023</v>
      </c>
      <c r="G1162" s="12"/>
      <c r="H1162" s="12"/>
      <c r="I1162" s="13">
        <v>0</v>
      </c>
      <c r="J1162" s="13">
        <v>0</v>
      </c>
      <c r="K1162" s="14" t="str">
        <f>HYPERLINK("http://twitter.com/download/iphone","Twitter for iPhone")</f>
        <v>Twitter for iPhone</v>
      </c>
      <c r="L1162" s="13">
        <v>192</v>
      </c>
      <c r="M1162" s="13">
        <v>298</v>
      </c>
      <c r="N1162" s="13">
        <v>1</v>
      </c>
      <c r="O1162" s="15"/>
      <c r="P1162" s="6">
        <v>41943.9533912037</v>
      </c>
      <c r="Q1162" s="12"/>
      <c r="R1162" s="17">
        <v>1984</v>
      </c>
      <c r="S1162" s="12"/>
      <c r="T1162" s="12"/>
      <c r="U1162" s="10" t="str">
        <f>HYPERLINK("https://pbs.twimg.com/profile_images/621749837021736960/_Cq0SOeu.jpg","View")</f>
        <v>View</v>
      </c>
    </row>
    <row r="1163" spans="1:21" ht="51">
      <c r="A1163" s="6">
        <v>43438.618055555555</v>
      </c>
      <c r="B1163" s="7" t="str">
        <f>HYPERLINK("https://twitter.com/CarlosBasabe4","@CarlosBasabe4")</f>
        <v>@CarlosBasabe4</v>
      </c>
      <c r="C1163" s="8" t="s">
        <v>1305</v>
      </c>
      <c r="D1163" s="9" t="s">
        <v>4024</v>
      </c>
      <c r="E1163" s="10" t="str">
        <f>HYPERLINK("https://twitter.com/CarlosBasabe4/status/1069951961376665601","1069951961376665601")</f>
        <v>1069951961376665601</v>
      </c>
      <c r="F1163" s="12"/>
      <c r="G1163" s="11" t="s">
        <v>4025</v>
      </c>
      <c r="H1163" s="12"/>
      <c r="I1163" s="13">
        <v>0</v>
      </c>
      <c r="J1163" s="13">
        <v>0</v>
      </c>
      <c r="K1163" s="14" t="str">
        <f t="shared" ref="K1163:K1164" si="197">HYPERLINK("http://twitter.com/download/android","Twitter for Android")</f>
        <v>Twitter for Android</v>
      </c>
      <c r="L1163" s="13">
        <v>1495</v>
      </c>
      <c r="M1163" s="13">
        <v>4999</v>
      </c>
      <c r="N1163" s="13">
        <v>3</v>
      </c>
      <c r="O1163" s="15"/>
      <c r="P1163" s="6">
        <v>43042.109201388885</v>
      </c>
      <c r="Q1163" s="16" t="s">
        <v>1308</v>
      </c>
      <c r="R1163" s="17" t="s">
        <v>1309</v>
      </c>
      <c r="S1163" s="12"/>
      <c r="T1163" s="12"/>
      <c r="U1163" s="10" t="str">
        <f>HYPERLINK("https://pbs.twimg.com/profile_images/1002944252354195457/jSQJRNy2.jpg","View")</f>
        <v>View</v>
      </c>
    </row>
    <row r="1164" spans="1:21" ht="40.799999999999997">
      <c r="A1164" s="6">
        <v>43438.617534722223</v>
      </c>
      <c r="B1164" s="7" t="str">
        <f>HYPERLINK("https://twitter.com/David_Calvo","@David_Calvo")</f>
        <v>@David_Calvo</v>
      </c>
      <c r="C1164" s="8" t="s">
        <v>4026</v>
      </c>
      <c r="D1164" s="9" t="s">
        <v>4027</v>
      </c>
      <c r="E1164" s="10" t="str">
        <f>HYPERLINK("https://twitter.com/David_Calvo/status/1069951771609624576","1069951771609624576")</f>
        <v>1069951771609624576</v>
      </c>
      <c r="F1164" s="11" t="s">
        <v>4028</v>
      </c>
      <c r="G1164" s="12"/>
      <c r="H1164" s="12"/>
      <c r="I1164" s="13">
        <v>66</v>
      </c>
      <c r="J1164" s="13">
        <v>50</v>
      </c>
      <c r="K1164" s="14" t="str">
        <f t="shared" si="197"/>
        <v>Twitter for Android</v>
      </c>
      <c r="L1164" s="13">
        <v>48892</v>
      </c>
      <c r="M1164" s="13">
        <v>34961</v>
      </c>
      <c r="N1164" s="13">
        <v>214</v>
      </c>
      <c r="O1164" s="15"/>
      <c r="P1164" s="6">
        <v>39649.123124999998</v>
      </c>
      <c r="Q1164" s="16" t="s">
        <v>4029</v>
      </c>
      <c r="R1164" s="17" t="s">
        <v>4030</v>
      </c>
      <c r="S1164" s="11" t="s">
        <v>4031</v>
      </c>
      <c r="T1164" s="12"/>
      <c r="U1164" s="10" t="str">
        <f>HYPERLINK("https://pbs.twimg.com/profile_images/1172477283/DC2.jpg","View")</f>
        <v>View</v>
      </c>
    </row>
    <row r="1165" spans="1:21" ht="51">
      <c r="A1165" s="6">
        <v>43438.616944444446</v>
      </c>
      <c r="B1165" s="7" t="str">
        <f>HYPERLINK("https://twitter.com/marianozurdo","@marianozurdo")</f>
        <v>@marianozurdo</v>
      </c>
      <c r="C1165" s="8" t="s">
        <v>856</v>
      </c>
      <c r="D1165" s="9" t="s">
        <v>4032</v>
      </c>
      <c r="E1165" s="10" t="str">
        <f>HYPERLINK("https://twitter.com/marianozurdo/status/1069951557666521091","1069951557666521091")</f>
        <v>1069951557666521091</v>
      </c>
      <c r="F1165" s="12"/>
      <c r="G1165" s="12"/>
      <c r="H1165" s="12"/>
      <c r="I1165" s="13">
        <v>1</v>
      </c>
      <c r="J1165" s="13">
        <v>5</v>
      </c>
      <c r="K1165" s="14" t="str">
        <f>HYPERLINK("http://www.facebook.com/twitter","Facebook")</f>
        <v>Facebook</v>
      </c>
      <c r="L1165" s="13">
        <v>959</v>
      </c>
      <c r="M1165" s="13">
        <v>1646</v>
      </c>
      <c r="N1165" s="13">
        <v>51</v>
      </c>
      <c r="O1165" s="15"/>
      <c r="P1165" s="6">
        <v>40265.735914351855</v>
      </c>
      <c r="Q1165" s="16" t="s">
        <v>75</v>
      </c>
      <c r="R1165" s="17" t="s">
        <v>858</v>
      </c>
      <c r="S1165" s="11" t="s">
        <v>859</v>
      </c>
      <c r="T1165" s="12"/>
      <c r="U1165" s="10" t="str">
        <f>HYPERLINK("https://pbs.twimg.com/profile_images/602748506160439296/o2IL_6M6.jpg","View")</f>
        <v>View</v>
      </c>
    </row>
    <row r="1166" spans="1:21" ht="40.799999999999997">
      <c r="A1166" s="6">
        <v>43438.616527777776</v>
      </c>
      <c r="B1166" s="7" t="str">
        <f>HYPERLINK("https://twitter.com/LfilodelabrechA","@LfilodelabrechA")</f>
        <v>@LfilodelabrechA</v>
      </c>
      <c r="C1166" s="8" t="s">
        <v>4033</v>
      </c>
      <c r="D1166" s="9" t="s">
        <v>4034</v>
      </c>
      <c r="E1166" s="10" t="str">
        <f>HYPERLINK("https://twitter.com/LfilodelabrechA/status/1069951405941817344","1069951405941817344")</f>
        <v>1069951405941817344</v>
      </c>
      <c r="F1166" s="11" t="s">
        <v>4035</v>
      </c>
      <c r="G1166" s="12"/>
      <c r="H1166" s="12"/>
      <c r="I1166" s="13">
        <v>1</v>
      </c>
      <c r="J1166" s="13">
        <v>0</v>
      </c>
      <c r="K1166" s="14" t="str">
        <f>HYPERLINK("http://twitter.com","Twitter Web Client")</f>
        <v>Twitter Web Client</v>
      </c>
      <c r="L1166" s="13">
        <v>21395</v>
      </c>
      <c r="M1166" s="13">
        <v>16322</v>
      </c>
      <c r="N1166" s="13">
        <v>155</v>
      </c>
      <c r="O1166" s="15"/>
      <c r="P1166" s="6">
        <v>41995.189953703702</v>
      </c>
      <c r="Q1166" s="16" t="s">
        <v>4036</v>
      </c>
      <c r="R1166" s="17" t="s">
        <v>4037</v>
      </c>
      <c r="S1166" s="11" t="s">
        <v>4038</v>
      </c>
      <c r="T1166" s="12"/>
      <c r="U1166" s="10" t="str">
        <f>HYPERLINK("https://pbs.twimg.com/profile_images/1015231495512915968/1SaMhOsw.jpg","View")</f>
        <v>View</v>
      </c>
    </row>
    <row r="1167" spans="1:21" ht="13.2">
      <c r="A1167" s="6">
        <v>43438.615972222222</v>
      </c>
      <c r="B1167" s="7" t="str">
        <f>HYPERLINK("https://twitter.com/En_Blau_es","@En_Blau_es")</f>
        <v>@En_Blau_es</v>
      </c>
      <c r="C1167" s="8" t="s">
        <v>4039</v>
      </c>
      <c r="D1167" s="9" t="s">
        <v>4040</v>
      </c>
      <c r="E1167" s="10" t="str">
        <f>HYPERLINK("https://twitter.com/En_Blau_es/status/1069951203755192321","1069951203755192321")</f>
        <v>1069951203755192321</v>
      </c>
      <c r="F1167" s="11" t="s">
        <v>4041</v>
      </c>
      <c r="G1167" s="12"/>
      <c r="H1167" s="12"/>
      <c r="I1167" s="13">
        <v>0</v>
      </c>
      <c r="J1167" s="13">
        <v>0</v>
      </c>
      <c r="K1167" s="14" t="str">
        <f>HYPERLINK("https://about.twitter.com/products/tweetdeck","TweetDeck")</f>
        <v>TweetDeck</v>
      </c>
      <c r="L1167" s="13">
        <v>389</v>
      </c>
      <c r="M1167" s="13">
        <v>98</v>
      </c>
      <c r="N1167" s="13">
        <v>4</v>
      </c>
      <c r="O1167" s="15"/>
      <c r="P1167" s="6">
        <v>42824.566701388889</v>
      </c>
      <c r="Q1167" s="12"/>
      <c r="R1167" s="20"/>
      <c r="S1167" s="11" t="s">
        <v>4042</v>
      </c>
      <c r="T1167" s="12"/>
      <c r="U1167" s="10" t="str">
        <f>HYPERLINK("https://pbs.twimg.com/profile_images/849621382346534912/rD-7feps.jpg","View")</f>
        <v>View</v>
      </c>
    </row>
    <row r="1168" spans="1:21" ht="30.6">
      <c r="A1168" s="6">
        <v>43438.613206018519</v>
      </c>
      <c r="B1168" s="7" t="str">
        <f>HYPERLINK("https://twitter.com/VidALieNs","@VidALieNs")</f>
        <v>@VidALieNs</v>
      </c>
      <c r="C1168" s="8" t="s">
        <v>3736</v>
      </c>
      <c r="D1168" s="9" t="s">
        <v>4043</v>
      </c>
      <c r="E1168" s="10" t="str">
        <f>HYPERLINK("https://twitter.com/VidALieNs/status/1069950201211904002","1069950201211904002")</f>
        <v>1069950201211904002</v>
      </c>
      <c r="F1168" s="12"/>
      <c r="G1168" s="12"/>
      <c r="H1168" s="12"/>
      <c r="I1168" s="13">
        <v>4</v>
      </c>
      <c r="J1168" s="13">
        <v>6</v>
      </c>
      <c r="K1168" s="14" t="str">
        <f t="shared" ref="K1168:K1169" si="198">HYPERLINK("http://twitter.com/download/android","Twitter for Android")</f>
        <v>Twitter for Android</v>
      </c>
      <c r="L1168" s="13">
        <v>11624</v>
      </c>
      <c r="M1168" s="13">
        <v>9295</v>
      </c>
      <c r="N1168" s="13">
        <v>36</v>
      </c>
      <c r="O1168" s="15"/>
      <c r="P1168" s="6">
        <v>40767.610150462962</v>
      </c>
      <c r="Q1168" s="16" t="s">
        <v>524</v>
      </c>
      <c r="R1168" s="17" t="s">
        <v>3738</v>
      </c>
      <c r="S1168" s="12"/>
      <c r="T1168" s="12"/>
      <c r="U1168" s="10" t="str">
        <f>HYPERLINK("https://pbs.twimg.com/profile_images/979309252329263105/5-ln10Cs.jpg","View")</f>
        <v>View</v>
      </c>
    </row>
    <row r="1169" spans="1:21" ht="30.6">
      <c r="A1169" s="6">
        <v>43438.612708333334</v>
      </c>
      <c r="B1169" s="7" t="str">
        <f>HYPERLINK("https://twitter.com/pasanospoco","@pasanospoco")</f>
        <v>@pasanospoco</v>
      </c>
      <c r="C1169" s="8" t="s">
        <v>2323</v>
      </c>
      <c r="D1169" s="9" t="s">
        <v>4044</v>
      </c>
      <c r="E1169" s="10" t="str">
        <f>HYPERLINK("https://twitter.com/pasanospoco/status/1069950023142645760","1069950023142645760")</f>
        <v>1069950023142645760</v>
      </c>
      <c r="F1169" s="12"/>
      <c r="G1169" s="12"/>
      <c r="H1169" s="12"/>
      <c r="I1169" s="13">
        <v>0</v>
      </c>
      <c r="J1169" s="13">
        <v>1</v>
      </c>
      <c r="K1169" s="14" t="str">
        <f t="shared" si="198"/>
        <v>Twitter for Android</v>
      </c>
      <c r="L1169" s="13">
        <v>852</v>
      </c>
      <c r="M1169" s="13">
        <v>246</v>
      </c>
      <c r="N1169" s="13">
        <v>18</v>
      </c>
      <c r="O1169" s="15"/>
      <c r="P1169" s="6">
        <v>42247.758414351847</v>
      </c>
      <c r="Q1169" s="12"/>
      <c r="R1169" s="17" t="s">
        <v>2326</v>
      </c>
      <c r="S1169" s="12"/>
      <c r="T1169" s="12"/>
      <c r="U1169" s="10" t="str">
        <f>HYPERLINK("https://pbs.twimg.com/profile_images/1036944079282753536/Bklk7Lpn.jpg","View")</f>
        <v>View</v>
      </c>
    </row>
    <row r="1170" spans="1:21" ht="51">
      <c r="A1170" s="6">
        <v>43438.610879629632</v>
      </c>
      <c r="B1170" s="7" t="str">
        <f>HYPERLINK("https://twitter.com/ABJ6691","@ABJ6691")</f>
        <v>@ABJ6691</v>
      </c>
      <c r="C1170" s="8" t="s">
        <v>4045</v>
      </c>
      <c r="D1170" s="9" t="s">
        <v>4046</v>
      </c>
      <c r="E1170" s="10" t="str">
        <f>HYPERLINK("https://twitter.com/ABJ6691/status/1069949357678608385","1069949357678608385")</f>
        <v>1069949357678608385</v>
      </c>
      <c r="F1170" s="12"/>
      <c r="G1170" s="12"/>
      <c r="H1170" s="12"/>
      <c r="I1170" s="13">
        <v>0</v>
      </c>
      <c r="J1170" s="13">
        <v>2</v>
      </c>
      <c r="K1170" s="14" t="str">
        <f>HYPERLINK("http://twitter.com","Twitter Web Client")</f>
        <v>Twitter Web Client</v>
      </c>
      <c r="L1170" s="13">
        <v>1190</v>
      </c>
      <c r="M1170" s="13">
        <v>1037</v>
      </c>
      <c r="N1170" s="13">
        <v>13</v>
      </c>
      <c r="O1170" s="15"/>
      <c r="P1170" s="6">
        <v>41788.552662037036</v>
      </c>
      <c r="Q1170" s="12"/>
      <c r="R1170" s="17" t="s">
        <v>4047</v>
      </c>
      <c r="S1170" s="12"/>
      <c r="T1170" s="12"/>
      <c r="U1170" s="10" t="str">
        <f>HYPERLINK("https://pbs.twimg.com/profile_images/998485520349970432/4qWdVkQL.jpg","View")</f>
        <v>View</v>
      </c>
    </row>
    <row r="1171" spans="1:21" ht="61.2">
      <c r="A1171" s="6">
        <v>43438.609837962962</v>
      </c>
      <c r="B1171" s="7" t="str">
        <f>HYPERLINK("https://twitter.com/mara31gbarcenas","@mara31gbarcenas")</f>
        <v>@mara31gbarcenas</v>
      </c>
      <c r="C1171" s="8" t="s">
        <v>4049</v>
      </c>
      <c r="D1171" s="9" t="s">
        <v>4050</v>
      </c>
      <c r="E1171" s="10" t="str">
        <f>HYPERLINK("https://twitter.com/mara31gbarcenas/status/1069948980757450752","1069948980757450752")</f>
        <v>1069948980757450752</v>
      </c>
      <c r="F1171" s="12"/>
      <c r="G1171" s="12"/>
      <c r="H1171" s="12"/>
      <c r="I1171" s="13">
        <v>3</v>
      </c>
      <c r="J1171" s="13">
        <v>2</v>
      </c>
      <c r="K1171" s="14" t="str">
        <f>HYPERLINK("http://twitter.com/download/iphone","Twitter for iPhone")</f>
        <v>Twitter for iPhone</v>
      </c>
      <c r="L1171" s="13">
        <v>873</v>
      </c>
      <c r="M1171" s="13">
        <v>496</v>
      </c>
      <c r="N1171" s="13">
        <v>23</v>
      </c>
      <c r="O1171" s="15"/>
      <c r="P1171" s="6">
        <v>41597.802511574075</v>
      </c>
      <c r="Q1171" s="16" t="s">
        <v>4051</v>
      </c>
      <c r="R1171" s="17" t="s">
        <v>4052</v>
      </c>
      <c r="S1171" s="12"/>
      <c r="T1171" s="12"/>
      <c r="U1171" s="10" t="str">
        <f>HYPERLINK("https://pbs.twimg.com/profile_images/744870730706391041/MqVw1CDY.jpg","View")</f>
        <v>View</v>
      </c>
    </row>
    <row r="1172" spans="1:21" ht="40.799999999999997">
      <c r="A1172" s="6">
        <v>43438.606828703705</v>
      </c>
      <c r="B1172" s="7" t="str">
        <f>HYPERLINK("https://twitter.com/plerratta","@plerratta")</f>
        <v>@plerratta</v>
      </c>
      <c r="C1172" s="8" t="s">
        <v>124</v>
      </c>
      <c r="D1172" s="9" t="s">
        <v>4053</v>
      </c>
      <c r="E1172" s="10" t="str">
        <f>HYPERLINK("https://twitter.com/plerratta/status/1069947892876627970","1069947892876627970")</f>
        <v>1069947892876627970</v>
      </c>
      <c r="F1172" s="12"/>
      <c r="G1172" s="12"/>
      <c r="H1172" s="12"/>
      <c r="I1172" s="13">
        <v>0</v>
      </c>
      <c r="J1172" s="13">
        <v>0</v>
      </c>
      <c r="K1172" s="14" t="str">
        <f>HYPERLINK("http://twitter.com","Twitter Web Client")</f>
        <v>Twitter Web Client</v>
      </c>
      <c r="L1172" s="13">
        <v>610</v>
      </c>
      <c r="M1172" s="13">
        <v>1529</v>
      </c>
      <c r="N1172" s="13">
        <v>7</v>
      </c>
      <c r="O1172" s="15"/>
      <c r="P1172" s="6">
        <v>40170.826805555553</v>
      </c>
      <c r="Q1172" s="16" t="s">
        <v>128</v>
      </c>
      <c r="R1172" s="17" t="s">
        <v>129</v>
      </c>
      <c r="S1172" s="12"/>
      <c r="T1172" s="12"/>
      <c r="U1172" s="10" t="str">
        <f>HYPERLINK("https://pbs.twimg.com/profile_images/455365413501550592/x0hyhwd6.jpeg","View")</f>
        <v>View</v>
      </c>
    </row>
    <row r="1173" spans="1:21" ht="20.399999999999999">
      <c r="A1173" s="6">
        <v>43438.605486111112</v>
      </c>
      <c r="B1173" s="7" t="str">
        <f>HYPERLINK("https://twitter.com/teleprensa","@teleprensa")</f>
        <v>@teleprensa</v>
      </c>
      <c r="C1173" s="8" t="s">
        <v>4054</v>
      </c>
      <c r="D1173" s="9" t="s">
        <v>4055</v>
      </c>
      <c r="E1173" s="10" t="str">
        <f>HYPERLINK("https://twitter.com/teleprensa/status/1069947403413934081","1069947403413934081")</f>
        <v>1069947403413934081</v>
      </c>
      <c r="F1173" s="11" t="s">
        <v>4056</v>
      </c>
      <c r="G1173" s="12"/>
      <c r="H1173" s="12"/>
      <c r="I1173" s="13">
        <v>0</v>
      </c>
      <c r="J1173" s="13">
        <v>0</v>
      </c>
      <c r="K1173" s="14" t="str">
        <f>HYPERLINK("http://www.teleprensa.es","Teleprensa")</f>
        <v>Teleprensa</v>
      </c>
      <c r="L1173" s="13">
        <v>6643</v>
      </c>
      <c r="M1173" s="13">
        <v>61</v>
      </c>
      <c r="N1173" s="13">
        <v>165</v>
      </c>
      <c r="O1173" s="15"/>
      <c r="P1173" s="6">
        <v>39833.742754629631</v>
      </c>
      <c r="Q1173" s="16" t="s">
        <v>4057</v>
      </c>
      <c r="R1173" s="17" t="s">
        <v>4058</v>
      </c>
      <c r="S1173" s="11" t="s">
        <v>4059</v>
      </c>
      <c r="T1173" s="12"/>
      <c r="U1173" s="10" t="str">
        <f>HYPERLINK("https://pbs.twimg.com/profile_images/948234462428581889/njFLb4ok.jpg","View")</f>
        <v>View</v>
      </c>
    </row>
    <row r="1174" spans="1:21" ht="20.399999999999999">
      <c r="A1174" s="6">
        <v>43438.604722222226</v>
      </c>
      <c r="B1174" s="7" t="str">
        <f>HYPERLINK("https://twitter.com/informatica3","@informatica3")</f>
        <v>@informatica3</v>
      </c>
      <c r="C1174" s="8" t="s">
        <v>4060</v>
      </c>
      <c r="D1174" s="9" t="s">
        <v>4061</v>
      </c>
      <c r="E1174" s="10" t="str">
        <f>HYPERLINK("https://twitter.com/informatica3/status/1069947126002696194","1069947126002696194")</f>
        <v>1069947126002696194</v>
      </c>
      <c r="F1174" s="12"/>
      <c r="G1174" s="12"/>
      <c r="H1174" s="12"/>
      <c r="I1174" s="13">
        <v>0</v>
      </c>
      <c r="J1174" s="13">
        <v>0</v>
      </c>
      <c r="K1174" s="14" t="str">
        <f>HYPERLINK("http://twitter.com/download/android","Twitter for Android")</f>
        <v>Twitter for Android</v>
      </c>
      <c r="L1174" s="13">
        <v>4</v>
      </c>
      <c r="M1174" s="13">
        <v>20</v>
      </c>
      <c r="N1174" s="13">
        <v>2</v>
      </c>
      <c r="O1174" s="15"/>
      <c r="P1174" s="6">
        <v>40087.6800462963</v>
      </c>
      <c r="Q1174" s="16" t="s">
        <v>1455</v>
      </c>
      <c r="R1174" s="17" t="s">
        <v>4062</v>
      </c>
      <c r="S1174" s="12"/>
      <c r="T1174" s="12"/>
      <c r="U1174" s="10" t="str">
        <f>HYPERLINK("https://pbs.twimg.com/profile_images/575793901/esperanza_logo.gif","View")</f>
        <v>View</v>
      </c>
    </row>
    <row r="1175" spans="1:21" ht="40.799999999999997">
      <c r="A1175" s="6">
        <v>43438.604421296295</v>
      </c>
      <c r="B1175" s="7" t="str">
        <f>HYPERLINK("https://twitter.com/Cultura_DM","@Cultura_DM")</f>
        <v>@Cultura_DM</v>
      </c>
      <c r="C1175" s="8" t="s">
        <v>4063</v>
      </c>
      <c r="D1175" s="9" t="s">
        <v>4065</v>
      </c>
      <c r="E1175" s="10" t="str">
        <f>HYPERLINK("https://twitter.com/Cultura_DM/status/1069947017194029056","1069947017194029056")</f>
        <v>1069947017194029056</v>
      </c>
      <c r="F1175" s="11" t="s">
        <v>3894</v>
      </c>
      <c r="G1175" s="12"/>
      <c r="H1175" s="12"/>
      <c r="I1175" s="13">
        <v>2</v>
      </c>
      <c r="J1175" s="13">
        <v>4</v>
      </c>
      <c r="K1175" s="14" t="str">
        <f t="shared" ref="K1175:K1176" si="199">HYPERLINK("http://twitter.com","Twitter Web Client")</f>
        <v>Twitter Web Client</v>
      </c>
      <c r="L1175" s="13">
        <v>703</v>
      </c>
      <c r="M1175" s="13">
        <v>1136</v>
      </c>
      <c r="N1175" s="13">
        <v>6</v>
      </c>
      <c r="O1175" s="15"/>
      <c r="P1175" s="6">
        <v>43216.635254629626</v>
      </c>
      <c r="Q1175" s="16" t="s">
        <v>772</v>
      </c>
      <c r="R1175" s="17" t="s">
        <v>4066</v>
      </c>
      <c r="S1175" s="11" t="s">
        <v>4067</v>
      </c>
      <c r="T1175" s="12"/>
      <c r="U1175" s="10" t="str">
        <f>HYPERLINK("https://pbs.twimg.com/profile_images/989504196645998592/3dc7qG5_.jpg","View")</f>
        <v>View</v>
      </c>
    </row>
    <row r="1176" spans="1:21" ht="40.799999999999997">
      <c r="A1176" s="6">
        <v>43438.60255787037</v>
      </c>
      <c r="B1176" s="7" t="str">
        <f>HYPERLINK("https://twitter.com/JosCarlosJmnz","@JosCarlosJmnz")</f>
        <v>@JosCarlosJmnz</v>
      </c>
      <c r="C1176" s="8" t="s">
        <v>4068</v>
      </c>
      <c r="D1176" s="9" t="s">
        <v>4069</v>
      </c>
      <c r="E1176" s="10" t="str">
        <f>HYPERLINK("https://twitter.com/JosCarlosJmnz/status/1069946342905180161","1069946342905180161")</f>
        <v>1069946342905180161</v>
      </c>
      <c r="F1176" s="12"/>
      <c r="G1176" s="12"/>
      <c r="H1176" s="12"/>
      <c r="I1176" s="13">
        <v>0</v>
      </c>
      <c r="J1176" s="13">
        <v>0</v>
      </c>
      <c r="K1176" s="14" t="str">
        <f t="shared" si="199"/>
        <v>Twitter Web Client</v>
      </c>
      <c r="L1176" s="13">
        <v>148</v>
      </c>
      <c r="M1176" s="13">
        <v>520</v>
      </c>
      <c r="N1176" s="13">
        <v>1</v>
      </c>
      <c r="O1176" s="15"/>
      <c r="P1176" s="6">
        <v>40657.968923611115</v>
      </c>
      <c r="Q1176" s="12"/>
      <c r="R1176" s="17" t="s">
        <v>4070</v>
      </c>
      <c r="S1176" s="12"/>
      <c r="T1176" s="12"/>
      <c r="U1176" s="10" t="str">
        <f>HYPERLINK("https://pbs.twimg.com/profile_images/1932089001/CV0312__262x300_.jpg","View")</f>
        <v>View</v>
      </c>
    </row>
    <row r="1177" spans="1:21" ht="61.2">
      <c r="A1177" s="6">
        <v>43438.60219907407</v>
      </c>
      <c r="B1177" s="7" t="str">
        <f>HYPERLINK("https://twitter.com/altezarealisima","@altezarealisima")</f>
        <v>@altezarealisima</v>
      </c>
      <c r="C1177" s="8" t="s">
        <v>4071</v>
      </c>
      <c r="D1177" s="9" t="s">
        <v>4072</v>
      </c>
      <c r="E1177" s="10" t="str">
        <f>HYPERLINK("https://twitter.com/altezarealisima/status/1069946213477298177","1069946213477298177")</f>
        <v>1069946213477298177</v>
      </c>
      <c r="F1177" s="12"/>
      <c r="G1177" s="12"/>
      <c r="H1177" s="12"/>
      <c r="I1177" s="13">
        <v>1</v>
      </c>
      <c r="J1177" s="13">
        <v>2</v>
      </c>
      <c r="K1177" s="14" t="str">
        <f>HYPERLINK("http://twitter.com/download/android","Twitter for Android")</f>
        <v>Twitter for Android</v>
      </c>
      <c r="L1177" s="13">
        <v>56</v>
      </c>
      <c r="M1177" s="13">
        <v>114</v>
      </c>
      <c r="N1177" s="13">
        <v>0</v>
      </c>
      <c r="O1177" s="15"/>
      <c r="P1177" s="6">
        <v>40849.495949074073</v>
      </c>
      <c r="Q1177" s="12"/>
      <c r="R1177" s="20"/>
      <c r="S1177" s="12"/>
      <c r="T1177" s="12"/>
      <c r="U1177" s="10" t="str">
        <f>HYPERLINK("https://pbs.twimg.com/profile_images/667410502209945600/IiPb9Ltu.jpg","View")</f>
        <v>View</v>
      </c>
    </row>
    <row r="1178" spans="1:21" ht="40.799999999999997">
      <c r="A1178" s="6">
        <v>43438.601909722223</v>
      </c>
      <c r="B1178" s="7" t="str">
        <f>HYPERLINK("https://twitter.com/The_Gabrich","@The_Gabrich")</f>
        <v>@The_Gabrich</v>
      </c>
      <c r="C1178" s="8" t="s">
        <v>4074</v>
      </c>
      <c r="D1178" s="9" t="s">
        <v>4075</v>
      </c>
      <c r="E1178" s="10" t="str">
        <f>HYPERLINK("https://twitter.com/The_Gabrich/status/1069946109316030469","1069946109316030469")</f>
        <v>1069946109316030469</v>
      </c>
      <c r="F1178" s="12"/>
      <c r="G1178" s="12"/>
      <c r="H1178" s="12"/>
      <c r="I1178" s="13">
        <v>1</v>
      </c>
      <c r="J1178" s="13">
        <v>3</v>
      </c>
      <c r="K1178" s="14" t="str">
        <f>HYPERLINK("http://twitter.com","Twitter Web Client")</f>
        <v>Twitter Web Client</v>
      </c>
      <c r="L1178" s="13">
        <v>2800</v>
      </c>
      <c r="M1178" s="13">
        <v>563</v>
      </c>
      <c r="N1178" s="13">
        <v>81</v>
      </c>
      <c r="O1178" s="15"/>
      <c r="P1178" s="6">
        <v>40539.703078703707</v>
      </c>
      <c r="Q1178" s="16" t="s">
        <v>4076</v>
      </c>
      <c r="R1178" s="17" t="s">
        <v>4077</v>
      </c>
      <c r="S1178" s="12"/>
      <c r="T1178" s="12"/>
      <c r="U1178" s="10" t="str">
        <f>HYPERLINK("https://pbs.twimg.com/profile_images/923602007696531456/bxcU8w4N.jpg","View")</f>
        <v>View</v>
      </c>
    </row>
    <row r="1179" spans="1:21" ht="51">
      <c r="A1179" s="6">
        <v>43438.598854166667</v>
      </c>
      <c r="B1179" s="7" t="str">
        <f>HYPERLINK("https://twitter.com/JC_C_A","@JC_C_A")</f>
        <v>@JC_C_A</v>
      </c>
      <c r="C1179" s="8" t="s">
        <v>630</v>
      </c>
      <c r="D1179" s="9" t="s">
        <v>4078</v>
      </c>
      <c r="E1179" s="10" t="str">
        <f>HYPERLINK("https://twitter.com/JC_C_A/status/1069945002430775296","1069945002430775296")</f>
        <v>1069945002430775296</v>
      </c>
      <c r="F1179" s="12"/>
      <c r="G1179" s="12"/>
      <c r="H1179" s="12"/>
      <c r="I1179" s="13">
        <v>0</v>
      </c>
      <c r="J1179" s="13">
        <v>1</v>
      </c>
      <c r="K1179" s="14" t="str">
        <f>HYPERLINK("http://twitter.com/download/android","Twitter for Android")</f>
        <v>Twitter for Android</v>
      </c>
      <c r="L1179" s="13">
        <v>1535</v>
      </c>
      <c r="M1179" s="13">
        <v>1285</v>
      </c>
      <c r="N1179" s="13">
        <v>4</v>
      </c>
      <c r="O1179" s="15"/>
      <c r="P1179" s="6">
        <v>43055.93885416667</v>
      </c>
      <c r="Q1179" s="16" t="s">
        <v>632</v>
      </c>
      <c r="R1179" s="17" t="s">
        <v>633</v>
      </c>
      <c r="S1179" s="12"/>
      <c r="T1179" s="12"/>
      <c r="U1179" s="10" t="str">
        <f>HYPERLINK("https://pbs.twimg.com/profile_images/1029775179520647169/gj_YgLkP.jpg","View")</f>
        <v>View</v>
      </c>
    </row>
    <row r="1180" spans="1:21" ht="40.799999999999997">
      <c r="A1180" s="6">
        <v>43438.597361111111</v>
      </c>
      <c r="B1180" s="7" t="str">
        <f>HYPERLINK("https://twitter.com/sextaNoticias","@sextaNoticias")</f>
        <v>@sextaNoticias</v>
      </c>
      <c r="C1180" s="8" t="s">
        <v>1716</v>
      </c>
      <c r="D1180" s="9" t="s">
        <v>4079</v>
      </c>
      <c r="E1180" s="10" t="str">
        <f>HYPERLINK("https://twitter.com/sextaNoticias/status/1069944458261737472","1069944458261737472")</f>
        <v>1069944458261737472</v>
      </c>
      <c r="F1180" s="11" t="s">
        <v>4080</v>
      </c>
      <c r="G1180" s="11" t="s">
        <v>3853</v>
      </c>
      <c r="H1180" s="12"/>
      <c r="I1180" s="13">
        <v>3</v>
      </c>
      <c r="J1180" s="13">
        <v>3</v>
      </c>
      <c r="K1180" s="14" t="str">
        <f>HYPERLINK("http://dogtrack.es","DogTrack_Oficial")</f>
        <v>DogTrack_Oficial</v>
      </c>
      <c r="L1180" s="13">
        <v>1112668</v>
      </c>
      <c r="M1180" s="13">
        <v>279</v>
      </c>
      <c r="N1180" s="13">
        <v>7291</v>
      </c>
      <c r="O1180" s="19" t="s">
        <v>44</v>
      </c>
      <c r="P1180" s="6">
        <v>40099.614328703705</v>
      </c>
      <c r="Q1180" s="12"/>
      <c r="R1180" s="17" t="s">
        <v>1719</v>
      </c>
      <c r="S1180" s="11" t="s">
        <v>1720</v>
      </c>
      <c r="T1180" s="12"/>
      <c r="U1180" s="10" t="str">
        <f>HYPERLINK("https://pbs.twimg.com/profile_images/898970208551022592/hh3ITSK-.jpg","View")</f>
        <v>View</v>
      </c>
    </row>
    <row r="1181" spans="1:21" ht="20.399999999999999">
      <c r="A1181" s="6">
        <v>43438.597349537042</v>
      </c>
      <c r="B1181" s="7" t="str">
        <f>HYPERLINK("https://twitter.com/Viyusgii","@Viyusgii")</f>
        <v>@Viyusgii</v>
      </c>
      <c r="C1181" s="8" t="s">
        <v>4081</v>
      </c>
      <c r="D1181" s="9" t="s">
        <v>4082</v>
      </c>
      <c r="E1181" s="10" t="str">
        <f>HYPERLINK("https://twitter.com/Viyusgii/status/1069944454218506240","1069944454218506240")</f>
        <v>1069944454218506240</v>
      </c>
      <c r="F1181" s="12"/>
      <c r="G1181" s="12"/>
      <c r="H1181" s="12"/>
      <c r="I1181" s="13">
        <v>1</v>
      </c>
      <c r="J1181" s="13">
        <v>17</v>
      </c>
      <c r="K1181" s="14" t="str">
        <f>HYPERLINK("http://twitter.com/download/iphone","Twitter for iPhone")</f>
        <v>Twitter for iPhone</v>
      </c>
      <c r="L1181" s="13">
        <v>397</v>
      </c>
      <c r="M1181" s="13">
        <v>109</v>
      </c>
      <c r="N1181" s="13">
        <v>2</v>
      </c>
      <c r="O1181" s="15"/>
      <c r="P1181" s="6">
        <v>41967.000428240739</v>
      </c>
      <c r="Q1181" s="16" t="s">
        <v>4083</v>
      </c>
      <c r="R1181" s="17" t="s">
        <v>4084</v>
      </c>
      <c r="S1181" s="12"/>
      <c r="T1181" s="12"/>
      <c r="U1181" s="10" t="str">
        <f>HYPERLINK("https://pbs.twimg.com/profile_images/1066002839200309249/dlIgoJvt.jpg","View")</f>
        <v>View</v>
      </c>
    </row>
    <row r="1182" spans="1:21" ht="40.799999999999997">
      <c r="A1182" s="6">
        <v>43438.597233796296</v>
      </c>
      <c r="B1182" s="7" t="str">
        <f>HYPERLINK("https://twitter.com/BarrufetFet","@BarrufetFet")</f>
        <v>@BarrufetFet</v>
      </c>
      <c r="C1182" s="8" t="s">
        <v>4085</v>
      </c>
      <c r="D1182" s="9" t="s">
        <v>4086</v>
      </c>
      <c r="E1182" s="10" t="str">
        <f>HYPERLINK("https://twitter.com/BarrufetFet/status/1069944414951354368","1069944414951354368")</f>
        <v>1069944414951354368</v>
      </c>
      <c r="F1182" s="12"/>
      <c r="G1182" s="11" t="s">
        <v>4087</v>
      </c>
      <c r="H1182" s="12"/>
      <c r="I1182" s="13">
        <v>0</v>
      </c>
      <c r="J1182" s="13">
        <v>0</v>
      </c>
      <c r="K1182" s="14" t="str">
        <f t="shared" ref="K1182:K1184" si="200">HYPERLINK("http://twitter.com","Twitter Web Client")</f>
        <v>Twitter Web Client</v>
      </c>
      <c r="L1182" s="13">
        <v>266</v>
      </c>
      <c r="M1182" s="13">
        <v>439</v>
      </c>
      <c r="N1182" s="13">
        <v>2</v>
      </c>
      <c r="O1182" s="15"/>
      <c r="P1182" s="6">
        <v>42441.906747685185</v>
      </c>
      <c r="Q1182" s="12"/>
      <c r="R1182" s="17" t="s">
        <v>4088</v>
      </c>
      <c r="S1182" s="12"/>
      <c r="T1182" s="12"/>
      <c r="U1182" s="10" t="str">
        <f>HYPERLINK("https://pbs.twimg.com/profile_images/915295817342349312/MJrmTzrD.jpg","View")</f>
        <v>View</v>
      </c>
    </row>
    <row r="1183" spans="1:21" ht="40.799999999999997">
      <c r="A1183" s="6">
        <v>43438.591712962967</v>
      </c>
      <c r="B1183" s="7" t="str">
        <f>HYPERLINK("https://twitter.com/Sanfermin00","@Sanfermin00")</f>
        <v>@Sanfermin00</v>
      </c>
      <c r="C1183" s="8" t="s">
        <v>1618</v>
      </c>
      <c r="D1183" s="9" t="s">
        <v>4089</v>
      </c>
      <c r="E1183" s="10" t="str">
        <f>HYPERLINK("https://twitter.com/Sanfermin00/status/1069942412515180544","1069942412515180544")</f>
        <v>1069942412515180544</v>
      </c>
      <c r="F1183" s="11" t="s">
        <v>3778</v>
      </c>
      <c r="G1183" s="12"/>
      <c r="H1183" s="12"/>
      <c r="I1183" s="13">
        <v>0</v>
      </c>
      <c r="J1183" s="13">
        <v>0</v>
      </c>
      <c r="K1183" s="14" t="str">
        <f t="shared" si="200"/>
        <v>Twitter Web Client</v>
      </c>
      <c r="L1183" s="13">
        <v>16528</v>
      </c>
      <c r="M1183" s="13">
        <v>13714</v>
      </c>
      <c r="N1183" s="13">
        <v>122</v>
      </c>
      <c r="O1183" s="15"/>
      <c r="P1183" s="6">
        <v>42362.637083333335</v>
      </c>
      <c r="Q1183" s="16" t="s">
        <v>1619</v>
      </c>
      <c r="R1183" s="17" t="s">
        <v>1620</v>
      </c>
      <c r="S1183" s="11" t="s">
        <v>1621</v>
      </c>
      <c r="T1183" s="12"/>
      <c r="U1183" s="10" t="str">
        <f>HYPERLINK("https://pbs.twimg.com/profile_images/1064102923624480768/j11dV2-u.jpg","View")</f>
        <v>View</v>
      </c>
    </row>
    <row r="1184" spans="1:21" ht="51">
      <c r="A1184" s="6">
        <v>43438.591261574074</v>
      </c>
      <c r="B1184" s="7" t="str">
        <f>HYPERLINK("https://twitter.com/LfilodelabrechA","@LfilodelabrechA")</f>
        <v>@LfilodelabrechA</v>
      </c>
      <c r="C1184" s="8" t="s">
        <v>4033</v>
      </c>
      <c r="D1184" s="9" t="s">
        <v>4090</v>
      </c>
      <c r="E1184" s="10" t="str">
        <f>HYPERLINK("https://twitter.com/LfilodelabrechA/status/1069942248287232002","1069942248287232002")</f>
        <v>1069942248287232002</v>
      </c>
      <c r="F1184" s="12"/>
      <c r="G1184" s="12"/>
      <c r="H1184" s="12"/>
      <c r="I1184" s="13">
        <v>0</v>
      </c>
      <c r="J1184" s="13">
        <v>1</v>
      </c>
      <c r="K1184" s="14" t="str">
        <f t="shared" si="200"/>
        <v>Twitter Web Client</v>
      </c>
      <c r="L1184" s="13">
        <v>21395</v>
      </c>
      <c r="M1184" s="13">
        <v>16322</v>
      </c>
      <c r="N1184" s="13">
        <v>155</v>
      </c>
      <c r="O1184" s="15"/>
      <c r="P1184" s="6">
        <v>41995.189953703702</v>
      </c>
      <c r="Q1184" s="16" t="s">
        <v>4036</v>
      </c>
      <c r="R1184" s="17" t="s">
        <v>4037</v>
      </c>
      <c r="S1184" s="11" t="s">
        <v>4038</v>
      </c>
      <c r="T1184" s="12"/>
      <c r="U1184" s="10" t="str">
        <f>HYPERLINK("https://pbs.twimg.com/profile_images/1015231495512915968/1SaMhOsw.jpg","View")</f>
        <v>View</v>
      </c>
    </row>
    <row r="1185" spans="1:21" ht="20.399999999999999">
      <c r="A1185" s="6">
        <v>43438.590231481481</v>
      </c>
      <c r="B1185" s="7" t="str">
        <f>HYPERLINK("https://twitter.com/A3Noticias","@A3Noticias")</f>
        <v>@A3Noticias</v>
      </c>
      <c r="C1185" s="8" t="s">
        <v>1852</v>
      </c>
      <c r="D1185" s="9" t="s">
        <v>4091</v>
      </c>
      <c r="E1185" s="10" t="str">
        <f>HYPERLINK("https://twitter.com/A3Noticias/status/1069941875363250176","1069941875363250176")</f>
        <v>1069941875363250176</v>
      </c>
      <c r="F1185" s="11" t="s">
        <v>4092</v>
      </c>
      <c r="G1185" s="12"/>
      <c r="H1185" s="12"/>
      <c r="I1185" s="13">
        <v>17</v>
      </c>
      <c r="J1185" s="13">
        <v>36</v>
      </c>
      <c r="K1185" s="14" t="str">
        <f>HYPERLINK("http://dogtrack.es","DogTrack_Oficial")</f>
        <v>DogTrack_Oficial</v>
      </c>
      <c r="L1185" s="13">
        <v>1723924</v>
      </c>
      <c r="M1185" s="13">
        <v>407</v>
      </c>
      <c r="N1185" s="13">
        <v>8117</v>
      </c>
      <c r="O1185" s="19" t="s">
        <v>44</v>
      </c>
      <c r="P1185" s="6">
        <v>40318.523495370369</v>
      </c>
      <c r="Q1185" s="12"/>
      <c r="R1185" s="17" t="s">
        <v>1855</v>
      </c>
      <c r="S1185" s="11" t="s">
        <v>1856</v>
      </c>
      <c r="T1185" s="12"/>
      <c r="U1185" s="10" t="str">
        <f>HYPERLINK("https://pbs.twimg.com/profile_images/1047424467411107840/znEO0bjJ.jpg","View")</f>
        <v>View</v>
      </c>
    </row>
    <row r="1186" spans="1:21" ht="91.8">
      <c r="A1186" s="6">
        <v>43438.587372685186</v>
      </c>
      <c r="B1186" s="7" t="str">
        <f>HYPERLINK("https://twitter.com/protestona1","@protestona1")</f>
        <v>@protestona1</v>
      </c>
      <c r="C1186" s="8" t="s">
        <v>732</v>
      </c>
      <c r="D1186" s="9" t="s">
        <v>4094</v>
      </c>
      <c r="E1186" s="10" t="str">
        <f>HYPERLINK("https://twitter.com/protestona1/status/1069940839693119488","1069940839693119488")</f>
        <v>1069940839693119488</v>
      </c>
      <c r="F1186" s="16" t="s">
        <v>3612</v>
      </c>
      <c r="G1186" s="12"/>
      <c r="H1186" s="12"/>
      <c r="I1186" s="13">
        <v>219</v>
      </c>
      <c r="J1186" s="13">
        <v>466</v>
      </c>
      <c r="K1186" s="14" t="str">
        <f>HYPERLINK("http://twitter.com/download/iphone","Twitter for iPhone")</f>
        <v>Twitter for iPhone</v>
      </c>
      <c r="L1186" s="13">
        <v>151623</v>
      </c>
      <c r="M1186" s="13">
        <v>2214</v>
      </c>
      <c r="N1186" s="13">
        <v>810</v>
      </c>
      <c r="O1186" s="15"/>
      <c r="P1186" s="6">
        <v>41352.82136574074</v>
      </c>
      <c r="Q1186" s="16" t="s">
        <v>735</v>
      </c>
      <c r="R1186" s="17" t="s">
        <v>736</v>
      </c>
      <c r="S1186" s="11" t="s">
        <v>737</v>
      </c>
      <c r="T1186" s="12"/>
      <c r="U1186" s="10" t="str">
        <f>HYPERLINK("https://pbs.twimg.com/profile_images/1067148427048423431/NQxeU_SX.jpg","View")</f>
        <v>View</v>
      </c>
    </row>
    <row r="1187" spans="1:21" ht="40.799999999999997">
      <c r="A1187" s="6">
        <v>43438.585104166668</v>
      </c>
      <c r="B1187" s="7" t="str">
        <f>HYPERLINK("https://twitter.com/ja_jauregui","@ja_jauregui")</f>
        <v>@ja_jauregui</v>
      </c>
      <c r="C1187" s="8" t="s">
        <v>4095</v>
      </c>
      <c r="D1187" s="9" t="s">
        <v>4096</v>
      </c>
      <c r="E1187" s="10" t="str">
        <f>HYPERLINK("https://twitter.com/ja_jauregui/status/1069940017882193920","1069940017882193920")</f>
        <v>1069940017882193920</v>
      </c>
      <c r="F1187" s="11" t="s">
        <v>4097</v>
      </c>
      <c r="G1187" s="12"/>
      <c r="H1187" s="12"/>
      <c r="I1187" s="13">
        <v>0</v>
      </c>
      <c r="J1187" s="13">
        <v>0</v>
      </c>
      <c r="K1187" s="14" t="str">
        <f>HYPERLINK("http://twitter.com","Twitter Web Client")</f>
        <v>Twitter Web Client</v>
      </c>
      <c r="L1187" s="13">
        <v>275</v>
      </c>
      <c r="M1187" s="13">
        <v>839</v>
      </c>
      <c r="N1187" s="13">
        <v>0</v>
      </c>
      <c r="O1187" s="15"/>
      <c r="P1187" s="6">
        <v>41188.542766203704</v>
      </c>
      <c r="Q1187" s="16" t="s">
        <v>4098</v>
      </c>
      <c r="R1187" s="28" t="s">
        <v>4099</v>
      </c>
      <c r="S1187" s="11" t="s">
        <v>4100</v>
      </c>
      <c r="T1187" s="12"/>
      <c r="U1187" s="10" t="str">
        <f>HYPERLINK("https://pbs.twimg.com/profile_images/429404158261989378/qQOn4doT.jpeg","View")</f>
        <v>View</v>
      </c>
    </row>
    <row r="1188" spans="1:21" ht="51">
      <c r="A1188" s="6">
        <v>43438.584409722222</v>
      </c>
      <c r="B1188" s="7" t="str">
        <f>HYPERLINK("https://twitter.com/rafaelserranore","@rafaelserranore")</f>
        <v>@rafaelserranore</v>
      </c>
      <c r="C1188" s="8" t="s">
        <v>4101</v>
      </c>
      <c r="D1188" s="27" t="s">
        <v>4102</v>
      </c>
      <c r="E1188" s="10" t="str">
        <f>HYPERLINK("https://twitter.com/rafaelserranore/status/1069939766123290625","1069939766123290625")</f>
        <v>1069939766123290625</v>
      </c>
      <c r="F1188" s="12"/>
      <c r="G1188" s="12"/>
      <c r="H1188" s="12"/>
      <c r="I1188" s="13">
        <v>0</v>
      </c>
      <c r="J1188" s="13">
        <v>0</v>
      </c>
      <c r="K1188" s="14" t="str">
        <f>HYPERLINK("http://twitter.com/download/android","Twitter for Android")</f>
        <v>Twitter for Android</v>
      </c>
      <c r="L1188" s="13">
        <v>778</v>
      </c>
      <c r="M1188" s="13">
        <v>986</v>
      </c>
      <c r="N1188" s="13">
        <v>2</v>
      </c>
      <c r="O1188" s="15"/>
      <c r="P1188" s="6">
        <v>40625.414270833331</v>
      </c>
      <c r="Q1188" s="12"/>
      <c r="R1188" s="20"/>
      <c r="S1188" s="12"/>
      <c r="T1188" s="12"/>
      <c r="U1188" s="10" t="str">
        <f>HYPERLINK("https://pbs.twimg.com/profile_images/929840858924507136/mo_AlZr-.jpg","View")</f>
        <v>View</v>
      </c>
    </row>
    <row r="1189" spans="1:21" ht="40.799999999999997">
      <c r="A1189" s="6">
        <v>43438.583969907406</v>
      </c>
      <c r="B1189" s="7" t="str">
        <f>HYPERLINK("https://twitter.com/ElMundo_Madrid","@ElMundo_Madrid")</f>
        <v>@ElMundo_Madrid</v>
      </c>
      <c r="C1189" s="8" t="s">
        <v>4103</v>
      </c>
      <c r="D1189" s="9" t="s">
        <v>4104</v>
      </c>
      <c r="E1189" s="10" t="str">
        <f>HYPERLINK("https://twitter.com/ElMundo_Madrid/status/1069939605917585408","1069939605917585408")</f>
        <v>1069939605917585408</v>
      </c>
      <c r="F1189" s="11" t="s">
        <v>4105</v>
      </c>
      <c r="G1189" s="12"/>
      <c r="H1189" s="12"/>
      <c r="I1189" s="13">
        <v>1</v>
      </c>
      <c r="J1189" s="13">
        <v>2</v>
      </c>
      <c r="K1189" s="14" t="str">
        <f t="shared" ref="K1189:K1191" si="201">HYPERLINK("http://twitter.com","Twitter Web Client")</f>
        <v>Twitter Web Client</v>
      </c>
      <c r="L1189" s="13">
        <v>23844</v>
      </c>
      <c r="M1189" s="13">
        <v>947</v>
      </c>
      <c r="N1189" s="13">
        <v>594</v>
      </c>
      <c r="O1189" s="15"/>
      <c r="P1189" s="6">
        <v>40203.557546296295</v>
      </c>
      <c r="Q1189" s="16" t="s">
        <v>30</v>
      </c>
      <c r="R1189" s="17" t="s">
        <v>4106</v>
      </c>
      <c r="S1189" s="11" t="s">
        <v>4107</v>
      </c>
      <c r="T1189" s="12"/>
      <c r="U1189" s="10" t="str">
        <f>HYPERLINK("https://pbs.twimg.com/profile_images/930047195310632960/1PL9zA_H.jpg","View")</f>
        <v>View</v>
      </c>
    </row>
    <row r="1190" spans="1:21" ht="30.6">
      <c r="A1190" s="6">
        <v>43438.582430555558</v>
      </c>
      <c r="B1190" s="7" t="str">
        <f>HYPERLINK("https://twitter.com/JJosejua","@JJosejua")</f>
        <v>@JJosejua</v>
      </c>
      <c r="C1190" s="8" t="s">
        <v>4108</v>
      </c>
      <c r="D1190" s="9" t="s">
        <v>4109</v>
      </c>
      <c r="E1190" s="10" t="str">
        <f>HYPERLINK("https://twitter.com/JJosejua/status/1069939048033239046","1069939048033239046")</f>
        <v>1069939048033239046</v>
      </c>
      <c r="F1190" s="11" t="s">
        <v>4110</v>
      </c>
      <c r="G1190" s="12"/>
      <c r="H1190" s="12"/>
      <c r="I1190" s="13">
        <v>1</v>
      </c>
      <c r="J1190" s="13">
        <v>0</v>
      </c>
      <c r="K1190" s="14" t="str">
        <f t="shared" si="201"/>
        <v>Twitter Web Client</v>
      </c>
      <c r="L1190" s="13">
        <v>728</v>
      </c>
      <c r="M1190" s="13">
        <v>1052</v>
      </c>
      <c r="N1190" s="13">
        <v>6</v>
      </c>
      <c r="O1190" s="15"/>
      <c r="P1190" s="6">
        <v>42647.482685185183</v>
      </c>
      <c r="Q1190" s="16" t="s">
        <v>4111</v>
      </c>
      <c r="R1190" s="17" t="s">
        <v>4112</v>
      </c>
      <c r="S1190" s="12"/>
      <c r="T1190" s="12"/>
      <c r="U1190" s="10" t="str">
        <f>HYPERLINK("https://pbs.twimg.com/profile_images/1045773648735457280/y8Hw61k7.jpg","View")</f>
        <v>View</v>
      </c>
    </row>
    <row r="1191" spans="1:21" ht="51">
      <c r="A1191" s="6">
        <v>43438.576203703706</v>
      </c>
      <c r="B1191" s="7" t="str">
        <f>HYPERLINK("https://twitter.com/Juan13Navarro","@Juan13Navarro")</f>
        <v>@Juan13Navarro</v>
      </c>
      <c r="C1191" s="8" t="s">
        <v>4113</v>
      </c>
      <c r="D1191" s="9" t="s">
        <v>4114</v>
      </c>
      <c r="E1191" s="10" t="str">
        <f>HYPERLINK("https://twitter.com/Juan13Navarro/status/1069936791329927168","1069936791329927168")</f>
        <v>1069936791329927168</v>
      </c>
      <c r="F1191" s="12"/>
      <c r="G1191" s="11" t="s">
        <v>4115</v>
      </c>
      <c r="H1191" s="12"/>
      <c r="I1191" s="13">
        <v>0</v>
      </c>
      <c r="J1191" s="13">
        <v>0</v>
      </c>
      <c r="K1191" s="14" t="str">
        <f t="shared" si="201"/>
        <v>Twitter Web Client</v>
      </c>
      <c r="L1191" s="13">
        <v>596</v>
      </c>
      <c r="M1191" s="13">
        <v>800</v>
      </c>
      <c r="N1191" s="13">
        <v>12</v>
      </c>
      <c r="O1191" s="15"/>
      <c r="P1191" s="6">
        <v>40961.484317129631</v>
      </c>
      <c r="Q1191" s="12"/>
      <c r="R1191" s="17" t="s">
        <v>4116</v>
      </c>
      <c r="S1191" s="11" t="s">
        <v>4117</v>
      </c>
      <c r="T1191" s="12"/>
      <c r="U1191" s="10" t="str">
        <f>HYPERLINK("https://pbs.twimg.com/profile_images/827846657681276928/mUX2h2VC.jpg","View")</f>
        <v>View</v>
      </c>
    </row>
    <row r="1192" spans="1:21" ht="40.799999999999997">
      <c r="A1192" s="6">
        <v>43438.575914351852</v>
      </c>
      <c r="B1192" s="7" t="str">
        <f>HYPERLINK("https://twitter.com/protestona1","@protestona1")</f>
        <v>@protestona1</v>
      </c>
      <c r="C1192" s="8" t="s">
        <v>732</v>
      </c>
      <c r="D1192" s="9" t="s">
        <v>4118</v>
      </c>
      <c r="E1192" s="10" t="str">
        <f>HYPERLINK("https://twitter.com/protestona1/status/1069936689349578752","1069936689349578752")</f>
        <v>1069936689349578752</v>
      </c>
      <c r="F1192" s="12"/>
      <c r="G1192" s="11" t="s">
        <v>4121</v>
      </c>
      <c r="H1192" s="12"/>
      <c r="I1192" s="13">
        <v>303</v>
      </c>
      <c r="J1192" s="13">
        <v>334</v>
      </c>
      <c r="K1192" s="14" t="str">
        <f>HYPERLINK("http://twitter.com/download/iphone","Twitter for iPhone")</f>
        <v>Twitter for iPhone</v>
      </c>
      <c r="L1192" s="13">
        <v>151623</v>
      </c>
      <c r="M1192" s="13">
        <v>2214</v>
      </c>
      <c r="N1192" s="13">
        <v>810</v>
      </c>
      <c r="O1192" s="15"/>
      <c r="P1192" s="6">
        <v>41352.82136574074</v>
      </c>
      <c r="Q1192" s="16" t="s">
        <v>735</v>
      </c>
      <c r="R1192" s="17" t="s">
        <v>736</v>
      </c>
      <c r="S1192" s="11" t="s">
        <v>737</v>
      </c>
      <c r="T1192" s="12"/>
      <c r="U1192" s="10" t="str">
        <f>HYPERLINK("https://pbs.twimg.com/profile_images/1067148427048423431/NQxeU_SX.jpg","View")</f>
        <v>View</v>
      </c>
    </row>
    <row r="1193" spans="1:21" ht="30.6">
      <c r="A1193" s="6">
        <v>43438.575277777782</v>
      </c>
      <c r="B1193" s="7" t="str">
        <f>HYPERLINK("https://twitter.com/pedrovzc","@pedrovzc")</f>
        <v>@pedrovzc</v>
      </c>
      <c r="C1193" s="8" t="s">
        <v>4123</v>
      </c>
      <c r="D1193" s="9" t="s">
        <v>4124</v>
      </c>
      <c r="E1193" s="10" t="str">
        <f>HYPERLINK("https://twitter.com/pedrovzc/status/1069936458595753984","1069936458595753984")</f>
        <v>1069936458595753984</v>
      </c>
      <c r="F1193" s="11" t="s">
        <v>3525</v>
      </c>
      <c r="G1193" s="12"/>
      <c r="H1193" s="12"/>
      <c r="I1193" s="13">
        <v>18</v>
      </c>
      <c r="J1193" s="13">
        <v>25</v>
      </c>
      <c r="K1193" s="14" t="str">
        <f>HYPERLINK("http://twitter.com/download/android","Twitter for Android")</f>
        <v>Twitter for Android</v>
      </c>
      <c r="L1193" s="13">
        <v>1329</v>
      </c>
      <c r="M1193" s="13">
        <v>854</v>
      </c>
      <c r="N1193" s="13">
        <v>21</v>
      </c>
      <c r="O1193" s="15"/>
      <c r="P1193" s="6">
        <v>41257.930266203708</v>
      </c>
      <c r="Q1193" s="16" t="s">
        <v>4125</v>
      </c>
      <c r="R1193" s="17" t="s">
        <v>4126</v>
      </c>
      <c r="S1193" s="12"/>
      <c r="T1193" s="12"/>
      <c r="U1193" s="10" t="str">
        <f>HYPERLINK("https://pbs.twimg.com/profile_images/866353821412466689/efrRkpSA.jpg","View")</f>
        <v>View</v>
      </c>
    </row>
    <row r="1194" spans="1:21" ht="30.6">
      <c r="A1194" s="6">
        <v>43438.575092592597</v>
      </c>
      <c r="B1194" s="7" t="str">
        <f>HYPERLINK("https://twitter.com/pressdigital","@pressdigital")</f>
        <v>@pressdigital</v>
      </c>
      <c r="C1194" s="8" t="s">
        <v>4127</v>
      </c>
      <c r="D1194" s="9" t="s">
        <v>2807</v>
      </c>
      <c r="E1194" s="10" t="str">
        <f>HYPERLINK("https://twitter.com/pressdigital/status/1069936389356249090","1069936389356249090")</f>
        <v>1069936389356249090</v>
      </c>
      <c r="F1194" s="11" t="s">
        <v>4128</v>
      </c>
      <c r="G1194" s="12"/>
      <c r="H1194" s="12"/>
      <c r="I1194" s="13">
        <v>0</v>
      </c>
      <c r="J1194" s="13">
        <v>0</v>
      </c>
      <c r="K1194" s="14" t="str">
        <f>HYPERLINK("https://ifttt.com","IFTTT")</f>
        <v>IFTTT</v>
      </c>
      <c r="L1194" s="13">
        <v>1212</v>
      </c>
      <c r="M1194" s="13">
        <v>1127</v>
      </c>
      <c r="N1194" s="13">
        <v>73</v>
      </c>
      <c r="O1194" s="15"/>
      <c r="P1194" s="6">
        <v>40142.836041666669</v>
      </c>
      <c r="Q1194" s="16" t="s">
        <v>48</v>
      </c>
      <c r="R1194" s="17" t="s">
        <v>4129</v>
      </c>
      <c r="S1194" s="11" t="s">
        <v>4130</v>
      </c>
      <c r="T1194" s="12"/>
      <c r="U1194" s="10" t="str">
        <f>HYPERLINK("https://pbs.twimg.com/profile_images/686495616231444480/68bUHQ6J.jpg","View")</f>
        <v>View</v>
      </c>
    </row>
    <row r="1195" spans="1:21" ht="51">
      <c r="A1195" s="6">
        <v>43438.574976851851</v>
      </c>
      <c r="B1195" s="7" t="str">
        <f>HYPERLINK("https://twitter.com/LuzeonArc","@LuzeonArc")</f>
        <v>@LuzeonArc</v>
      </c>
      <c r="C1195" s="8" t="s">
        <v>4131</v>
      </c>
      <c r="D1195" s="9" t="s">
        <v>4132</v>
      </c>
      <c r="E1195" s="10" t="str">
        <f>HYPERLINK("https://twitter.com/LuzeonArc/status/1069936347463516160","1069936347463516160")</f>
        <v>1069936347463516160</v>
      </c>
      <c r="F1195" s="12"/>
      <c r="G1195" s="12"/>
      <c r="H1195" s="12"/>
      <c r="I1195" s="13">
        <v>0</v>
      </c>
      <c r="J1195" s="13">
        <v>0</v>
      </c>
      <c r="K1195" s="14" t="str">
        <f>HYPERLINK("http://twitter.com","Twitter Web Client")</f>
        <v>Twitter Web Client</v>
      </c>
      <c r="L1195" s="13">
        <v>163</v>
      </c>
      <c r="M1195" s="13">
        <v>262</v>
      </c>
      <c r="N1195" s="13">
        <v>0</v>
      </c>
      <c r="O1195" s="15"/>
      <c r="P1195" s="6">
        <v>42968.704594907409</v>
      </c>
      <c r="Q1195" s="16" t="s">
        <v>4133</v>
      </c>
      <c r="R1195" s="17" t="s">
        <v>4134</v>
      </c>
      <c r="S1195" s="11" t="s">
        <v>4135</v>
      </c>
      <c r="T1195" s="12"/>
      <c r="U1195" s="10" t="str">
        <f>HYPERLINK("https://pbs.twimg.com/profile_images/1060307873568382976/18xdkF49.jpg","View")</f>
        <v>View</v>
      </c>
    </row>
    <row r="1196" spans="1:21" ht="30.6">
      <c r="A1196" s="6">
        <v>43438.571145833332</v>
      </c>
      <c r="B1196" s="7" t="str">
        <f>HYPERLINK("https://twitter.com/CronicaTerminus","@CronicaTerminus")</f>
        <v>@CronicaTerminus</v>
      </c>
      <c r="C1196" s="8" t="s">
        <v>3509</v>
      </c>
      <c r="D1196" s="9" t="s">
        <v>4136</v>
      </c>
      <c r="E1196" s="10" t="str">
        <f>HYPERLINK("https://twitter.com/CronicaTerminus/status/1069934958108659712","1069934958108659712")</f>
        <v>1069934958108659712</v>
      </c>
      <c r="F1196" s="12"/>
      <c r="G1196" s="11" t="s">
        <v>4137</v>
      </c>
      <c r="H1196" s="12"/>
      <c r="I1196" s="13">
        <v>0</v>
      </c>
      <c r="J1196" s="13">
        <v>0</v>
      </c>
      <c r="K1196" s="14" t="str">
        <f>HYPERLINK("http://twitter.com/download/android","Twitter for Android")</f>
        <v>Twitter for Android</v>
      </c>
      <c r="L1196" s="13">
        <v>2</v>
      </c>
      <c r="M1196" s="13">
        <v>6</v>
      </c>
      <c r="N1196" s="13">
        <v>0</v>
      </c>
      <c r="O1196" s="15"/>
      <c r="P1196" s="6">
        <v>43414.024895833332</v>
      </c>
      <c r="Q1196" s="12"/>
      <c r="R1196" s="17" t="s">
        <v>3511</v>
      </c>
      <c r="S1196" s="12"/>
      <c r="T1196" s="12"/>
      <c r="U1196" s="10" t="str">
        <f>HYPERLINK("https://pbs.twimg.com/profile_images/1061177410043985920/B5YcGit-.jpg","View")</f>
        <v>View</v>
      </c>
    </row>
    <row r="1197" spans="1:21" ht="30.6">
      <c r="A1197" s="6">
        <v>43438.570509259254</v>
      </c>
      <c r="B1197" s="7" t="str">
        <f>HYPERLINK("https://twitter.com/ontibe","@ontibe")</f>
        <v>@ontibe</v>
      </c>
      <c r="C1197" s="8" t="s">
        <v>2193</v>
      </c>
      <c r="D1197" s="9" t="s">
        <v>3323</v>
      </c>
      <c r="E1197" s="10" t="str">
        <f>HYPERLINK("https://twitter.com/ontibe/status/1069934727744905216","1069934727744905216")</f>
        <v>1069934727744905216</v>
      </c>
      <c r="F1197" s="11" t="s">
        <v>3324</v>
      </c>
      <c r="G1197" s="12"/>
      <c r="H1197" s="12"/>
      <c r="I1197" s="13">
        <v>0</v>
      </c>
      <c r="J1197" s="13">
        <v>0</v>
      </c>
      <c r="K1197" s="14" t="str">
        <f>HYPERLINK("http://twitter.com","Twitter Web Client")</f>
        <v>Twitter Web Client</v>
      </c>
      <c r="L1197" s="13">
        <v>462</v>
      </c>
      <c r="M1197" s="13">
        <v>1373</v>
      </c>
      <c r="N1197" s="13">
        <v>1</v>
      </c>
      <c r="O1197" s="15"/>
      <c r="P1197" s="6">
        <v>40673.627766203703</v>
      </c>
      <c r="Q1197" s="16" t="s">
        <v>2194</v>
      </c>
      <c r="R1197" s="17" t="s">
        <v>2195</v>
      </c>
      <c r="S1197" s="12"/>
      <c r="T1197" s="12"/>
      <c r="U1197" s="10" t="str">
        <f>HYPERLINK("https://pbs.twimg.com/profile_images/867069058037972993/9c2-Wrp7.jpg","View")</f>
        <v>View</v>
      </c>
    </row>
    <row r="1198" spans="1:21" ht="51">
      <c r="A1198" s="6">
        <v>43438.568275462967</v>
      </c>
      <c r="B1198" s="7" t="str">
        <f>HYPERLINK("https://twitter.com/pnique","@pnique")</f>
        <v>@pnique</v>
      </c>
      <c r="C1198" s="8" t="s">
        <v>3197</v>
      </c>
      <c r="D1198" s="9" t="s">
        <v>4138</v>
      </c>
      <c r="E1198" s="10" t="str">
        <f>HYPERLINK("https://twitter.com/pnique/status/1069933919762563072","1069933919762563072")</f>
        <v>1069933919762563072</v>
      </c>
      <c r="F1198" s="11" t="s">
        <v>3877</v>
      </c>
      <c r="G1198" s="12"/>
      <c r="H1198" s="12"/>
      <c r="I1198" s="13">
        <v>1327</v>
      </c>
      <c r="J1198" s="13">
        <v>1860</v>
      </c>
      <c r="K1198" s="14" t="str">
        <f>HYPERLINK("https://buffer.com","Buffer")</f>
        <v>Buffer</v>
      </c>
      <c r="L1198" s="13">
        <v>436333</v>
      </c>
      <c r="M1198" s="13">
        <v>2008</v>
      </c>
      <c r="N1198" s="13">
        <v>2575</v>
      </c>
      <c r="O1198" s="19" t="s">
        <v>44</v>
      </c>
      <c r="P1198" s="6">
        <v>39892.83662037037</v>
      </c>
      <c r="Q1198" s="16" t="s">
        <v>48</v>
      </c>
      <c r="R1198" s="17" t="s">
        <v>3200</v>
      </c>
      <c r="S1198" s="11" t="s">
        <v>3201</v>
      </c>
      <c r="T1198" s="12"/>
      <c r="U1198" s="10" t="str">
        <f>HYPERLINK("https://pbs.twimg.com/profile_images/1070780574745399296/5T04IF-m.jpg","View")</f>
        <v>View</v>
      </c>
    </row>
    <row r="1199" spans="1:21" ht="30.6">
      <c r="A1199" s="6">
        <v>43438.567870370374</v>
      </c>
      <c r="B1199" s="7" t="str">
        <f>HYPERLINK("https://twitter.com/furretillo","@furretillo")</f>
        <v>@furretillo</v>
      </c>
      <c r="C1199" s="8" t="s">
        <v>1589</v>
      </c>
      <c r="D1199" s="9" t="s">
        <v>4139</v>
      </c>
      <c r="E1199" s="10" t="str">
        <f>HYPERLINK("https://twitter.com/furretillo/status/1069933773695934464","1069933773695934464")</f>
        <v>1069933773695934464</v>
      </c>
      <c r="F1199" s="12"/>
      <c r="G1199" s="12"/>
      <c r="H1199" s="12"/>
      <c r="I1199" s="13">
        <v>0</v>
      </c>
      <c r="J1199" s="13">
        <v>0</v>
      </c>
      <c r="K1199" s="14" t="str">
        <f>HYPERLINK("http://twitter.com","Twitter Web Client")</f>
        <v>Twitter Web Client</v>
      </c>
      <c r="L1199" s="13">
        <v>4710</v>
      </c>
      <c r="M1199" s="13">
        <v>4003</v>
      </c>
      <c r="N1199" s="13">
        <v>22</v>
      </c>
      <c r="O1199" s="15"/>
      <c r="P1199" s="6">
        <v>41412.937569444446</v>
      </c>
      <c r="Q1199" s="12"/>
      <c r="R1199" s="17" t="s">
        <v>1591</v>
      </c>
      <c r="S1199" s="12"/>
      <c r="T1199" s="12"/>
      <c r="U1199" s="10" t="str">
        <f>HYPERLINK("https://pbs.twimg.com/profile_images/3678005210/e8150c2c2b1c85957c34007aba1973d9.jpeg","View")</f>
        <v>View</v>
      </c>
    </row>
    <row r="1200" spans="1:21" ht="30.6">
      <c r="A1200" s="6">
        <v>43438.567546296297</v>
      </c>
      <c r="B1200" s="7" t="str">
        <f>HYPERLINK("https://twitter.com/martingerz_","@martingerz_")</f>
        <v>@martingerz_</v>
      </c>
      <c r="C1200" s="8" t="s">
        <v>4140</v>
      </c>
      <c r="D1200" s="9" t="s">
        <v>4141</v>
      </c>
      <c r="E1200" s="10" t="str">
        <f>HYPERLINK("https://twitter.com/martingerz_/status/1069933654535741440","1069933654535741440")</f>
        <v>1069933654535741440</v>
      </c>
      <c r="F1200" s="12"/>
      <c r="G1200" s="12"/>
      <c r="H1200" s="12"/>
      <c r="I1200" s="13">
        <v>0</v>
      </c>
      <c r="J1200" s="13">
        <v>0</v>
      </c>
      <c r="K1200" s="14" t="str">
        <f t="shared" ref="K1200:K1201" si="202">HYPERLINK("http://twitter.com/download/android","Twitter for Android")</f>
        <v>Twitter for Android</v>
      </c>
      <c r="L1200" s="13">
        <v>1610</v>
      </c>
      <c r="M1200" s="13">
        <v>2606</v>
      </c>
      <c r="N1200" s="13">
        <v>27</v>
      </c>
      <c r="O1200" s="15"/>
      <c r="P1200" s="6">
        <v>40324.417442129634</v>
      </c>
      <c r="Q1200" s="16" t="s">
        <v>186</v>
      </c>
      <c r="R1200" s="17" t="s">
        <v>4142</v>
      </c>
      <c r="S1200" s="12"/>
      <c r="T1200" s="12"/>
      <c r="U1200" s="10" t="str">
        <f>HYPERLINK("https://pbs.twimg.com/profile_images/1007943787606183936/5EMVOk9m.jpg","View")</f>
        <v>View</v>
      </c>
    </row>
    <row r="1201" spans="1:21" ht="30.6">
      <c r="A1201" s="6">
        <v>43438.567002314812</v>
      </c>
      <c r="B1201" s="7" t="str">
        <f>HYPERLINK("https://twitter.com/Bizcochocooker","@Bizcochocooker")</f>
        <v>@Bizcochocooker</v>
      </c>
      <c r="C1201" s="8" t="s">
        <v>4143</v>
      </c>
      <c r="D1201" s="9" t="s">
        <v>4144</v>
      </c>
      <c r="E1201" s="10" t="str">
        <f>HYPERLINK("https://twitter.com/Bizcochocooker/status/1069933456749223936","1069933456749223936")</f>
        <v>1069933456749223936</v>
      </c>
      <c r="F1201" s="12"/>
      <c r="G1201" s="12"/>
      <c r="H1201" s="12"/>
      <c r="I1201" s="13">
        <v>0</v>
      </c>
      <c r="J1201" s="13">
        <v>1</v>
      </c>
      <c r="K1201" s="14" t="str">
        <f t="shared" si="202"/>
        <v>Twitter for Android</v>
      </c>
      <c r="L1201" s="13">
        <v>1551</v>
      </c>
      <c r="M1201" s="13">
        <v>267</v>
      </c>
      <c r="N1201" s="13">
        <v>9</v>
      </c>
      <c r="O1201" s="15"/>
      <c r="P1201" s="6">
        <v>43162.867118055554</v>
      </c>
      <c r="Q1201" s="16" t="s">
        <v>4145</v>
      </c>
      <c r="R1201" s="17" t="s">
        <v>4146</v>
      </c>
      <c r="S1201" s="12"/>
      <c r="T1201" s="12"/>
      <c r="U1201" s="10" t="str">
        <f>HYPERLINK("https://pbs.twimg.com/profile_images/970023825701265408/9IuKURuM.jpg","View")</f>
        <v>View</v>
      </c>
    </row>
    <row r="1202" spans="1:21" ht="40.799999999999997">
      <c r="A1202" s="6">
        <v>43438.565891203703</v>
      </c>
      <c r="B1202" s="7" t="str">
        <f>HYPERLINK("https://twitter.com/La_Cerca","@La_Cerca")</f>
        <v>@La_Cerca</v>
      </c>
      <c r="C1202" s="8" t="s">
        <v>832</v>
      </c>
      <c r="D1202" s="9" t="s">
        <v>4147</v>
      </c>
      <c r="E1202" s="10" t="str">
        <f>HYPERLINK("https://twitter.com/La_Cerca/status/1069933057459789824","1069933057459789824")</f>
        <v>1069933057459789824</v>
      </c>
      <c r="F1202" s="11" t="s">
        <v>4148</v>
      </c>
      <c r="G1202" s="12"/>
      <c r="H1202" s="12"/>
      <c r="I1202" s="13">
        <v>0</v>
      </c>
      <c r="J1202" s="13">
        <v>0</v>
      </c>
      <c r="K1202" s="14" t="str">
        <f>HYPERLINK("http://www.lacerca.com","La Cerca")</f>
        <v>La Cerca</v>
      </c>
      <c r="L1202" s="13">
        <v>18980</v>
      </c>
      <c r="M1202" s="13">
        <v>4970</v>
      </c>
      <c r="N1202" s="13">
        <v>337</v>
      </c>
      <c r="O1202" s="19" t="s">
        <v>44</v>
      </c>
      <c r="P1202" s="6">
        <v>40007.429652777777</v>
      </c>
      <c r="Q1202" s="16" t="s">
        <v>163</v>
      </c>
      <c r="R1202" s="17" t="s">
        <v>835</v>
      </c>
      <c r="S1202" s="11" t="s">
        <v>836</v>
      </c>
      <c r="T1202" s="12"/>
      <c r="U1202" s="10" t="str">
        <f>HYPERLINK("https://pbs.twimg.com/profile_images/1046758213843111937/MFsiNfy0.jpg","View")</f>
        <v>View</v>
      </c>
    </row>
    <row r="1203" spans="1:21" ht="20.399999999999999">
      <c r="A1203" s="6">
        <v>43438.565694444449</v>
      </c>
      <c r="B1203" s="7" t="str">
        <f>HYPERLINK("https://twitter.com/en_riqueiglesia","@en_riqueiglesia")</f>
        <v>@en_riqueiglesia</v>
      </c>
      <c r="C1203" s="8" t="s">
        <v>4150</v>
      </c>
      <c r="D1203" s="9" t="s">
        <v>4151</v>
      </c>
      <c r="E1203" s="10" t="str">
        <f>HYPERLINK("https://twitter.com/en_riqueiglesia/status/1069932983359037440","1069932983359037440")</f>
        <v>1069932983359037440</v>
      </c>
      <c r="F1203" s="11" t="s">
        <v>4152</v>
      </c>
      <c r="G1203" s="12"/>
      <c r="H1203" s="12"/>
      <c r="I1203" s="13">
        <v>0</v>
      </c>
      <c r="J1203" s="13">
        <v>0</v>
      </c>
      <c r="K1203" s="14" t="str">
        <f>HYPERLINK("https://ifttt.com","IFTTT")</f>
        <v>IFTTT</v>
      </c>
      <c r="L1203" s="13">
        <v>868</v>
      </c>
      <c r="M1203" s="13">
        <v>433</v>
      </c>
      <c r="N1203" s="13">
        <v>11</v>
      </c>
      <c r="O1203" s="15"/>
      <c r="P1203" s="6">
        <v>41518.592222222222</v>
      </c>
      <c r="Q1203" s="16" t="s">
        <v>328</v>
      </c>
      <c r="R1203" s="17" t="s">
        <v>4153</v>
      </c>
      <c r="S1203" s="12"/>
      <c r="T1203" s="12"/>
      <c r="U1203" s="10" t="str">
        <f>HYPERLINK("https://pbs.twimg.com/profile_images/724900303833825280/eneeqWX0.jpg","View")</f>
        <v>View</v>
      </c>
    </row>
    <row r="1204" spans="1:21" ht="40.799999999999997">
      <c r="A1204" s="6">
        <v>43438.564571759256</v>
      </c>
      <c r="B1204" s="7" t="str">
        <f>HYPERLINK("https://twitter.com/fermont1965","@fermont1965")</f>
        <v>@fermont1965</v>
      </c>
      <c r="C1204" s="8" t="s">
        <v>1099</v>
      </c>
      <c r="D1204" s="9" t="s">
        <v>4154</v>
      </c>
      <c r="E1204" s="10" t="str">
        <f>HYPERLINK("https://twitter.com/fermont1965/status/1069932577132331008","1069932577132331008")</f>
        <v>1069932577132331008</v>
      </c>
      <c r="F1204" s="12"/>
      <c r="G1204" s="12"/>
      <c r="H1204" s="12"/>
      <c r="I1204" s="13">
        <v>17</v>
      </c>
      <c r="J1204" s="13">
        <v>10</v>
      </c>
      <c r="K1204" s="14" t="str">
        <f>HYPERLINK("http://twitter.com","Twitter Web Client")</f>
        <v>Twitter Web Client</v>
      </c>
      <c r="L1204" s="13">
        <v>35257</v>
      </c>
      <c r="M1204" s="13">
        <v>9078</v>
      </c>
      <c r="N1204" s="13">
        <v>306</v>
      </c>
      <c r="O1204" s="15"/>
      <c r="P1204" s="6">
        <v>40608.760115740741</v>
      </c>
      <c r="Q1204" s="16" t="s">
        <v>1101</v>
      </c>
      <c r="R1204" s="17" t="s">
        <v>1102</v>
      </c>
      <c r="S1204" s="12"/>
      <c r="T1204" s="12"/>
      <c r="U1204" s="10" t="str">
        <f>HYPERLINK("https://pbs.twimg.com/profile_images/617818600326438912/_o-dirdy.jpg","View")</f>
        <v>View</v>
      </c>
    </row>
    <row r="1205" spans="1:21" ht="40.799999999999997">
      <c r="A1205" s="6">
        <v>43438.563888888893</v>
      </c>
      <c r="B1205" s="7" t="str">
        <f>HYPERLINK("https://twitter.com/elnacionalcat_e","@elnacionalcat_e")</f>
        <v>@elnacionalcat_e</v>
      </c>
      <c r="C1205" s="8" t="s">
        <v>4002</v>
      </c>
      <c r="D1205" s="9" t="s">
        <v>4155</v>
      </c>
      <c r="E1205" s="10" t="str">
        <f>HYPERLINK("https://twitter.com/elnacionalcat_e/status/1069932329366257664","1069932329366257664")</f>
        <v>1069932329366257664</v>
      </c>
      <c r="F1205" s="11" t="s">
        <v>4041</v>
      </c>
      <c r="G1205" s="12"/>
      <c r="H1205" s="12"/>
      <c r="I1205" s="13">
        <v>0</v>
      </c>
      <c r="J1205" s="13">
        <v>0</v>
      </c>
      <c r="K1205" s="14" t="str">
        <f>HYPERLINK("https://about.twitter.com/products/tweetdeck","TweetDeck")</f>
        <v>TweetDeck</v>
      </c>
      <c r="L1205" s="13">
        <v>5553</v>
      </c>
      <c r="M1205" s="13">
        <v>355</v>
      </c>
      <c r="N1205" s="13">
        <v>169</v>
      </c>
      <c r="O1205" s="15"/>
      <c r="P1205" s="6">
        <v>42247.840567129635</v>
      </c>
      <c r="Q1205" s="16" t="s">
        <v>4156</v>
      </c>
      <c r="R1205" s="17" t="s">
        <v>4157</v>
      </c>
      <c r="S1205" s="11" t="s">
        <v>4158</v>
      </c>
      <c r="T1205" s="12"/>
      <c r="U1205" s="10" t="str">
        <f>HYPERLINK("https://pbs.twimg.com/profile_images/646298514385960960/VEutSP7L.png","View")</f>
        <v>View</v>
      </c>
    </row>
    <row r="1206" spans="1:21" ht="40.799999999999997">
      <c r="A1206" s="6">
        <v>43438.560532407406</v>
      </c>
      <c r="B1206" s="7" t="str">
        <f>HYPERLINK("https://twitter.com/marianofake","@marianofake")</f>
        <v>@marianofake</v>
      </c>
      <c r="C1206" s="8" t="s">
        <v>1715</v>
      </c>
      <c r="D1206" s="9" t="s">
        <v>4159</v>
      </c>
      <c r="E1206" s="10" t="str">
        <f>HYPERLINK("https://twitter.com/marianofake/status/1069931111814447104","1069931111814447104")</f>
        <v>1069931111814447104</v>
      </c>
      <c r="F1206" s="12"/>
      <c r="G1206" s="12"/>
      <c r="H1206" s="12"/>
      <c r="I1206" s="13">
        <v>8</v>
      </c>
      <c r="J1206" s="13">
        <v>12</v>
      </c>
      <c r="K1206" s="14" t="str">
        <f>HYPERLINK("http://twitter.com","Twitter Web Client")</f>
        <v>Twitter Web Client</v>
      </c>
      <c r="L1206" s="13">
        <v>6144</v>
      </c>
      <c r="M1206" s="13">
        <v>3153</v>
      </c>
      <c r="N1206" s="13">
        <v>19</v>
      </c>
      <c r="O1206" s="15"/>
      <c r="P1206" s="6">
        <v>42101.675752314812</v>
      </c>
      <c r="Q1206" s="12"/>
      <c r="R1206" s="17" t="s">
        <v>1721</v>
      </c>
      <c r="S1206" s="12"/>
      <c r="T1206" s="12"/>
      <c r="U1206" s="10" t="str">
        <f>HYPERLINK("https://pbs.twimg.com/profile_images/865123852795367424/p4pK2M21.jpg","View")</f>
        <v>View</v>
      </c>
    </row>
    <row r="1207" spans="1:21" ht="40.799999999999997">
      <c r="A1207" s="6">
        <v>43438.557824074072</v>
      </c>
      <c r="B1207" s="7" t="str">
        <f>HYPERLINK("https://twitter.com/millanfernandez","@millanfernandez")</f>
        <v>@millanfernandez</v>
      </c>
      <c r="C1207" s="8" t="s">
        <v>4160</v>
      </c>
      <c r="D1207" s="9" t="s">
        <v>4161</v>
      </c>
      <c r="E1207" s="10" t="str">
        <f>HYPERLINK("https://twitter.com/millanfernandez/status/1069930133224595456","1069930133224595456")</f>
        <v>1069930133224595456</v>
      </c>
      <c r="F1207" s="12"/>
      <c r="G1207" s="12"/>
      <c r="H1207" s="12"/>
      <c r="I1207" s="13">
        <v>8</v>
      </c>
      <c r="J1207" s="13">
        <v>21</v>
      </c>
      <c r="K1207" s="14" t="str">
        <f>HYPERLINK("http://twitter.com/download/iphone","Twitter for iPhone")</f>
        <v>Twitter for iPhone</v>
      </c>
      <c r="L1207" s="13">
        <v>5015</v>
      </c>
      <c r="M1207" s="13">
        <v>5462</v>
      </c>
      <c r="N1207" s="13">
        <v>139</v>
      </c>
      <c r="O1207" s="15"/>
      <c r="P1207" s="6">
        <v>39949.83803240741</v>
      </c>
      <c r="Q1207" s="16" t="s">
        <v>4162</v>
      </c>
      <c r="R1207" s="17" t="s">
        <v>4163</v>
      </c>
      <c r="S1207" s="12"/>
      <c r="T1207" s="12"/>
      <c r="U1207" s="10" t="str">
        <f>HYPERLINK("https://pbs.twimg.com/profile_images/945388141254463490/ZS9qUZtT.jpg","View")</f>
        <v>View</v>
      </c>
    </row>
    <row r="1208" spans="1:21" ht="51">
      <c r="A1208" s="6">
        <v>43438.554525462961</v>
      </c>
      <c r="B1208" s="7" t="str">
        <f>HYPERLINK("https://twitter.com/MCordefer","@MCordefer")</f>
        <v>@MCordefer</v>
      </c>
      <c r="C1208" s="8" t="s">
        <v>4164</v>
      </c>
      <c r="D1208" s="9" t="s">
        <v>4165</v>
      </c>
      <c r="E1208" s="10" t="str">
        <f>HYPERLINK("https://twitter.com/MCordefer/status/1069928937395011585","1069928937395011585")</f>
        <v>1069928937395011585</v>
      </c>
      <c r="F1208" s="12"/>
      <c r="G1208" s="12"/>
      <c r="H1208" s="12"/>
      <c r="I1208" s="13">
        <v>3</v>
      </c>
      <c r="J1208" s="13">
        <v>4</v>
      </c>
      <c r="K1208" s="14" t="str">
        <f t="shared" ref="K1208:K1209" si="203">HYPERLINK("http://twitter.com/download/android","Twitter for Android")</f>
        <v>Twitter for Android</v>
      </c>
      <c r="L1208" s="13">
        <v>8559</v>
      </c>
      <c r="M1208" s="13">
        <v>2041</v>
      </c>
      <c r="N1208" s="13">
        <v>47</v>
      </c>
      <c r="O1208" s="15"/>
      <c r="P1208" s="6">
        <v>41003.668506944443</v>
      </c>
      <c r="Q1208" s="16" t="s">
        <v>48</v>
      </c>
      <c r="R1208" s="17" t="s">
        <v>4166</v>
      </c>
      <c r="S1208" s="12"/>
      <c r="T1208" s="12"/>
      <c r="U1208" s="10" t="str">
        <f>HYPERLINK("https://pbs.twimg.com/profile_images/1049059725797675009/EQ8_TvBR.jpg","View")</f>
        <v>View</v>
      </c>
    </row>
    <row r="1209" spans="1:21" ht="20.399999999999999">
      <c r="A1209" s="6">
        <v>43438.554166666669</v>
      </c>
      <c r="B1209" s="7" t="str">
        <f>HYPERLINK("https://twitter.com/josegar024","@josegar024")</f>
        <v>@josegar024</v>
      </c>
      <c r="C1209" s="8" t="s">
        <v>4167</v>
      </c>
      <c r="D1209" s="9" t="s">
        <v>4168</v>
      </c>
      <c r="E1209" s="10" t="str">
        <f>HYPERLINK("https://twitter.com/josegar024/status/1069928804968218624","1069928804968218624")</f>
        <v>1069928804968218624</v>
      </c>
      <c r="F1209" s="11" t="s">
        <v>4169</v>
      </c>
      <c r="G1209" s="12"/>
      <c r="H1209" s="12"/>
      <c r="I1209" s="13">
        <v>0</v>
      </c>
      <c r="J1209" s="13">
        <v>0</v>
      </c>
      <c r="K1209" s="14" t="str">
        <f t="shared" si="203"/>
        <v>Twitter for Android</v>
      </c>
      <c r="L1209" s="13">
        <v>302</v>
      </c>
      <c r="M1209" s="13">
        <v>567</v>
      </c>
      <c r="N1209" s="13">
        <v>3</v>
      </c>
      <c r="O1209" s="15"/>
      <c r="P1209" s="6">
        <v>41766.426458333335</v>
      </c>
      <c r="Q1209" s="12"/>
      <c r="R1209" s="20"/>
      <c r="S1209" s="12"/>
      <c r="T1209" s="12"/>
      <c r="U1209" s="10" t="str">
        <f>HYPERLINK("https://pbs.twimg.com/profile_images/501310090926780416/nASTajcM.jpeg","View")</f>
        <v>View</v>
      </c>
    </row>
    <row r="1210" spans="1:21" ht="30.6">
      <c r="A1210" s="6">
        <v>43438.553784722222</v>
      </c>
      <c r="B1210" s="7" t="str">
        <f>HYPERLINK("https://twitter.com/ErChiky","@ErChiky")</f>
        <v>@ErChiky</v>
      </c>
      <c r="C1210" s="8" t="s">
        <v>4170</v>
      </c>
      <c r="D1210" s="9" t="s">
        <v>4171</v>
      </c>
      <c r="E1210" s="10" t="str">
        <f>HYPERLINK("https://twitter.com/ErChiky/status/1069928667063771137","1069928667063771137")</f>
        <v>1069928667063771137</v>
      </c>
      <c r="F1210" s="12"/>
      <c r="G1210" s="12"/>
      <c r="H1210" s="12"/>
      <c r="I1210" s="13">
        <v>0</v>
      </c>
      <c r="J1210" s="13">
        <v>0</v>
      </c>
      <c r="K1210" s="14" t="str">
        <f t="shared" ref="K1210:K1211" si="204">HYPERLINK("http://twitter.com/download/iphone","Twitter for iPhone")</f>
        <v>Twitter for iPhone</v>
      </c>
      <c r="L1210" s="13">
        <v>172</v>
      </c>
      <c r="M1210" s="13">
        <v>393</v>
      </c>
      <c r="N1210" s="13">
        <v>3</v>
      </c>
      <c r="O1210" s="15"/>
      <c r="P1210" s="6">
        <v>40350.650312500002</v>
      </c>
      <c r="Q1210" s="16" t="s">
        <v>4172</v>
      </c>
      <c r="R1210" s="17" t="s">
        <v>4173</v>
      </c>
      <c r="S1210" s="12"/>
      <c r="T1210" s="12"/>
      <c r="U1210" s="10" t="str">
        <f>HYPERLINK("https://pbs.twimg.com/profile_images/1030545355253919744/dVjnyGBM.jpg","View")</f>
        <v>View</v>
      </c>
    </row>
    <row r="1211" spans="1:21" ht="51">
      <c r="A1211" s="6">
        <v>43438.551782407405</v>
      </c>
      <c r="B1211" s="7" t="str">
        <f>HYPERLINK("https://twitter.com/igfenoll","@igfenoll")</f>
        <v>@igfenoll</v>
      </c>
      <c r="C1211" s="8" t="s">
        <v>4174</v>
      </c>
      <c r="D1211" s="9" t="s">
        <v>4175</v>
      </c>
      <c r="E1211" s="10" t="str">
        <f>HYPERLINK("https://twitter.com/igfenoll/status/1069927941109243905","1069927941109243905")</f>
        <v>1069927941109243905</v>
      </c>
      <c r="F1211" s="12"/>
      <c r="G1211" s="12"/>
      <c r="H1211" s="12"/>
      <c r="I1211" s="13">
        <v>3</v>
      </c>
      <c r="J1211" s="13">
        <v>5</v>
      </c>
      <c r="K1211" s="14" t="str">
        <f t="shared" si="204"/>
        <v>Twitter for iPhone</v>
      </c>
      <c r="L1211" s="13">
        <v>3115</v>
      </c>
      <c r="M1211" s="13">
        <v>4299</v>
      </c>
      <c r="N1211" s="13">
        <v>81</v>
      </c>
      <c r="O1211" s="15"/>
      <c r="P1211" s="6">
        <v>40516.624664351853</v>
      </c>
      <c r="Q1211" s="16" t="s">
        <v>4176</v>
      </c>
      <c r="R1211" s="17" t="s">
        <v>4177</v>
      </c>
      <c r="S1211" s="11" t="s">
        <v>4178</v>
      </c>
      <c r="T1211" s="12"/>
      <c r="U1211" s="10" t="str">
        <f>HYPERLINK("https://pbs.twimg.com/profile_images/1006208148561121280/CGht6u3Z.jpg","View")</f>
        <v>View</v>
      </c>
    </row>
    <row r="1212" spans="1:21" ht="40.799999999999997">
      <c r="A1212" s="6">
        <v>43438.550173611111</v>
      </c>
      <c r="B1212" s="7" t="str">
        <f>HYPERLINK("https://twitter.com/ivanarmadabolas","@ivanarmadabolas")</f>
        <v>@ivanarmadabolas</v>
      </c>
      <c r="C1212" s="8" t="s">
        <v>4179</v>
      </c>
      <c r="D1212" s="9" t="s">
        <v>4180</v>
      </c>
      <c r="E1212" s="10" t="str">
        <f>HYPERLINK("https://twitter.com/ivanarmadabolas/status/1069927358998736896","1069927358998736896")</f>
        <v>1069927358998736896</v>
      </c>
      <c r="F1212" s="12"/>
      <c r="G1212" s="12"/>
      <c r="H1212" s="12"/>
      <c r="I1212" s="13">
        <v>0</v>
      </c>
      <c r="J1212" s="13">
        <v>0</v>
      </c>
      <c r="K1212" s="14" t="str">
        <f t="shared" ref="K1212:K1213" si="205">HYPERLINK("http://twitter.com","Twitter Web Client")</f>
        <v>Twitter Web Client</v>
      </c>
      <c r="L1212" s="13">
        <v>1</v>
      </c>
      <c r="M1212" s="13">
        <v>5</v>
      </c>
      <c r="N1212" s="13">
        <v>0</v>
      </c>
      <c r="O1212" s="15"/>
      <c r="P1212" s="6">
        <v>40918.710451388892</v>
      </c>
      <c r="Q1212" s="12"/>
      <c r="R1212" s="20"/>
      <c r="S1212" s="12"/>
      <c r="T1212" s="12"/>
      <c r="U1212" s="19" t="s">
        <v>359</v>
      </c>
    </row>
    <row r="1213" spans="1:21" ht="51">
      <c r="A1213" s="6">
        <v>43438.545844907407</v>
      </c>
      <c r="B1213" s="7" t="str">
        <f>HYPERLINK("https://twitter.com/iangulochacon","@iangulochacon")</f>
        <v>@iangulochacon</v>
      </c>
      <c r="C1213" s="8" t="s">
        <v>2683</v>
      </c>
      <c r="D1213" s="9" t="s">
        <v>2684</v>
      </c>
      <c r="E1213" s="10" t="str">
        <f>HYPERLINK("https://twitter.com/iangulochacon/status/1069925789934718976","1069925789934718976")</f>
        <v>1069925789934718976</v>
      </c>
      <c r="F1213" s="12"/>
      <c r="G1213" s="11" t="s">
        <v>2685</v>
      </c>
      <c r="H1213" s="12"/>
      <c r="I1213" s="13">
        <v>1</v>
      </c>
      <c r="J1213" s="13">
        <v>1</v>
      </c>
      <c r="K1213" s="14" t="str">
        <f t="shared" si="205"/>
        <v>Twitter Web Client</v>
      </c>
      <c r="L1213" s="13">
        <v>15859</v>
      </c>
      <c r="M1213" s="13">
        <v>16544</v>
      </c>
      <c r="N1213" s="13">
        <v>47</v>
      </c>
      <c r="O1213" s="15"/>
      <c r="P1213" s="6">
        <v>40213.701550925922</v>
      </c>
      <c r="Q1213" s="12"/>
      <c r="R1213" s="17" t="s">
        <v>2686</v>
      </c>
      <c r="S1213" s="12"/>
      <c r="T1213" s="12"/>
      <c r="U1213" s="10" t="str">
        <f>HYPERLINK("https://pbs.twimg.com/profile_images/378800000414505215/c08cd7eacd21b304319f72f6dca86b7d.jpeg","View")</f>
        <v>View</v>
      </c>
    </row>
    <row r="1214" spans="1:21" ht="30.6">
      <c r="A1214" s="6">
        <v>43438.544166666667</v>
      </c>
      <c r="B1214" s="7" t="str">
        <f>HYPERLINK("https://twitter.com/JuanPorcel4","@JuanPorcel4")</f>
        <v>@JuanPorcel4</v>
      </c>
      <c r="C1214" s="8" t="s">
        <v>4181</v>
      </c>
      <c r="D1214" s="9" t="s">
        <v>4182</v>
      </c>
      <c r="E1214" s="10" t="str">
        <f>HYPERLINK("https://twitter.com/JuanPorcel4/status/1069925184201809920","1069925184201809920")</f>
        <v>1069925184201809920</v>
      </c>
      <c r="F1214" s="12"/>
      <c r="G1214" s="12"/>
      <c r="H1214" s="12"/>
      <c r="I1214" s="13">
        <v>5</v>
      </c>
      <c r="J1214" s="13">
        <v>6</v>
      </c>
      <c r="K1214" s="14" t="str">
        <f>HYPERLINK("http://twitter.com/download/android","Twitter for Android")</f>
        <v>Twitter for Android</v>
      </c>
      <c r="L1214" s="13">
        <v>3113</v>
      </c>
      <c r="M1214" s="13">
        <v>2985</v>
      </c>
      <c r="N1214" s="13">
        <v>11</v>
      </c>
      <c r="O1214" s="15"/>
      <c r="P1214" s="6">
        <v>42017.493437500001</v>
      </c>
      <c r="Q1214" s="12"/>
      <c r="R1214" s="17" t="s">
        <v>4183</v>
      </c>
      <c r="S1214" s="12"/>
      <c r="T1214" s="12"/>
      <c r="U1214" s="10" t="str">
        <f>HYPERLINK("https://pbs.twimg.com/profile_images/690614624547397636/n_PV23Tm.jpg","View")</f>
        <v>View</v>
      </c>
    </row>
    <row r="1215" spans="1:21" ht="51">
      <c r="A1215" s="6">
        <v>43438.542233796295</v>
      </c>
      <c r="B1215" s="7" t="str">
        <f>HYPERLINK("https://twitter.com/davidgonzal123","@davidgonzal123")</f>
        <v>@davidgonzal123</v>
      </c>
      <c r="C1215" s="8" t="s">
        <v>4184</v>
      </c>
      <c r="D1215" s="9" t="s">
        <v>4185</v>
      </c>
      <c r="E1215" s="10" t="str">
        <f>HYPERLINK("https://twitter.com/davidgonzal123/status/1069924482213707776","1069924482213707776")</f>
        <v>1069924482213707776</v>
      </c>
      <c r="F1215" s="11" t="s">
        <v>4186</v>
      </c>
      <c r="G1215" s="12"/>
      <c r="H1215" s="12"/>
      <c r="I1215" s="13">
        <v>0</v>
      </c>
      <c r="J1215" s="13">
        <v>0</v>
      </c>
      <c r="K1215" s="14" t="str">
        <f>HYPERLINK("http://twitter.com","Twitter Web Client")</f>
        <v>Twitter Web Client</v>
      </c>
      <c r="L1215" s="13">
        <v>1074</v>
      </c>
      <c r="M1215" s="13">
        <v>1161</v>
      </c>
      <c r="N1215" s="13">
        <v>13</v>
      </c>
      <c r="O1215" s="15"/>
      <c r="P1215" s="6">
        <v>40688.547060185185</v>
      </c>
      <c r="Q1215" s="16" t="s">
        <v>203</v>
      </c>
      <c r="R1215" s="17" t="s">
        <v>4187</v>
      </c>
      <c r="S1215" s="12"/>
      <c r="T1215" s="12"/>
      <c r="U1215" s="10" t="str">
        <f>HYPERLINK("https://pbs.twimg.com/profile_images/2724784749/b235fb9539f774627056fbfdf235704f.jpeg","View")</f>
        <v>View</v>
      </c>
    </row>
    <row r="1216" spans="1:21" ht="51">
      <c r="A1216" s="6">
        <v>43438.541909722218</v>
      </c>
      <c r="B1216" s="7" t="str">
        <f>HYPERLINK("https://twitter.com/Marisseta","@Marisseta")</f>
        <v>@Marisseta</v>
      </c>
      <c r="C1216" s="8" t="s">
        <v>4190</v>
      </c>
      <c r="D1216" s="9" t="s">
        <v>4191</v>
      </c>
      <c r="E1216" s="10" t="str">
        <f>HYPERLINK("https://twitter.com/Marisseta/status/1069924363623895040","1069924363623895040")</f>
        <v>1069924363623895040</v>
      </c>
      <c r="F1216" s="16" t="s">
        <v>3855</v>
      </c>
      <c r="G1216" s="12"/>
      <c r="H1216" s="12"/>
      <c r="I1216" s="13">
        <v>8</v>
      </c>
      <c r="J1216" s="13">
        <v>1</v>
      </c>
      <c r="K1216" s="14" t="str">
        <f>HYPERLINK("http://twitter.com/download/android","Twitter for Android")</f>
        <v>Twitter for Android</v>
      </c>
      <c r="L1216" s="13">
        <v>2021</v>
      </c>
      <c r="M1216" s="13">
        <v>1893</v>
      </c>
      <c r="N1216" s="13">
        <v>120</v>
      </c>
      <c r="O1216" s="15"/>
      <c r="P1216" s="6">
        <v>40024.460740740738</v>
      </c>
      <c r="Q1216" s="16" t="s">
        <v>389</v>
      </c>
      <c r="R1216" s="17" t="s">
        <v>4192</v>
      </c>
      <c r="S1216" s="12"/>
      <c r="T1216" s="12"/>
      <c r="U1216" s="10" t="str">
        <f>HYPERLINK("https://pbs.twimg.com/profile_images/804503355833905157/_jLh908E.jpg","View")</f>
        <v>View</v>
      </c>
    </row>
    <row r="1217" spans="1:21" ht="51">
      <c r="A1217" s="6">
        <v>43438.538611111115</v>
      </c>
      <c r="B1217" s="7" t="str">
        <f>HYPERLINK("https://twitter.com/Geertxu","@Geertxu")</f>
        <v>@Geertxu</v>
      </c>
      <c r="C1217" s="8" t="s">
        <v>3684</v>
      </c>
      <c r="D1217" s="9" t="s">
        <v>4193</v>
      </c>
      <c r="E1217" s="10" t="str">
        <f>HYPERLINK("https://twitter.com/Geertxu/status/1069923167714664449","1069923167714664449")</f>
        <v>1069923167714664449</v>
      </c>
      <c r="F1217" s="12"/>
      <c r="G1217" s="12"/>
      <c r="H1217" s="12"/>
      <c r="I1217" s="13">
        <v>41</v>
      </c>
      <c r="J1217" s="13">
        <v>77</v>
      </c>
      <c r="K1217" s="14" t="str">
        <f>HYPERLINK("http://twitter.com/download/iphone","Twitter for iPhone")</f>
        <v>Twitter for iPhone</v>
      </c>
      <c r="L1217" s="13">
        <v>2928</v>
      </c>
      <c r="M1217" s="13">
        <v>998</v>
      </c>
      <c r="N1217" s="13">
        <v>45</v>
      </c>
      <c r="O1217" s="15"/>
      <c r="P1217" s="6">
        <v>40612.667673611111</v>
      </c>
      <c r="Q1217" s="16" t="s">
        <v>3687</v>
      </c>
      <c r="R1217" s="17" t="s">
        <v>3688</v>
      </c>
      <c r="S1217" s="12"/>
      <c r="T1217" s="12"/>
      <c r="U1217" s="10" t="str">
        <f>HYPERLINK("https://pbs.twimg.com/profile_images/1050871193451094021/VjkUgdJO.jpg","View")</f>
        <v>View</v>
      </c>
    </row>
    <row r="1218" spans="1:21" ht="30.6">
      <c r="A1218" s="6">
        <v>43438.538240740745</v>
      </c>
      <c r="B1218" s="7" t="str">
        <f>HYPERLINK("https://twitter.com/listocomics","@listocomics")</f>
        <v>@listocomics</v>
      </c>
      <c r="C1218" s="8" t="s">
        <v>4194</v>
      </c>
      <c r="D1218" s="9" t="s">
        <v>4195</v>
      </c>
      <c r="E1218" s="10" t="str">
        <f>HYPERLINK("https://twitter.com/listocomics/status/1069923035375919104","1069923035375919104")</f>
        <v>1069923035375919104</v>
      </c>
      <c r="F1218" s="12"/>
      <c r="G1218" s="12"/>
      <c r="H1218" s="12"/>
      <c r="I1218" s="13">
        <v>0</v>
      </c>
      <c r="J1218" s="13">
        <v>4</v>
      </c>
      <c r="K1218" s="14" t="str">
        <f>HYPERLINK("http://twitter.com/download/android","Twitter for Android")</f>
        <v>Twitter for Android</v>
      </c>
      <c r="L1218" s="13">
        <v>20294</v>
      </c>
      <c r="M1218" s="13">
        <v>898</v>
      </c>
      <c r="N1218" s="13">
        <v>712</v>
      </c>
      <c r="O1218" s="15"/>
      <c r="P1218" s="6">
        <v>39339.999409722222</v>
      </c>
      <c r="Q1218" s="16" t="s">
        <v>1455</v>
      </c>
      <c r="R1218" s="17" t="s">
        <v>4196</v>
      </c>
      <c r="S1218" s="11" t="s">
        <v>4197</v>
      </c>
      <c r="T1218" s="12"/>
      <c r="U1218" s="10" t="str">
        <f>HYPERLINK("https://pbs.twimg.com/profile_images/1022522797824897031/ErFzM46V.jpg","View")</f>
        <v>View</v>
      </c>
    </row>
    <row r="1219" spans="1:21" ht="51">
      <c r="A1219" s="6">
        <v>43438.538124999999</v>
      </c>
      <c r="B1219" s="7" t="str">
        <f>HYPERLINK("https://twitter.com/JUAN032402","@JUAN032402")</f>
        <v>@JUAN032402</v>
      </c>
      <c r="C1219" s="8" t="s">
        <v>4198</v>
      </c>
      <c r="D1219" s="9" t="s">
        <v>4199</v>
      </c>
      <c r="E1219" s="10" t="str">
        <f>HYPERLINK("https://twitter.com/JUAN032402/status/1069922993902665728","1069922993902665728")</f>
        <v>1069922993902665728</v>
      </c>
      <c r="F1219" s="12"/>
      <c r="G1219" s="12"/>
      <c r="H1219" s="12"/>
      <c r="I1219" s="13">
        <v>0</v>
      </c>
      <c r="J1219" s="13">
        <v>1</v>
      </c>
      <c r="K1219" s="14" t="str">
        <f>HYPERLINK("https://mobile.twitter.com","Twitter Lite")</f>
        <v>Twitter Lite</v>
      </c>
      <c r="L1219" s="13">
        <v>70</v>
      </c>
      <c r="M1219" s="13">
        <v>105</v>
      </c>
      <c r="N1219" s="13">
        <v>2</v>
      </c>
      <c r="O1219" s="15"/>
      <c r="P1219" s="6">
        <v>41699.489537037036</v>
      </c>
      <c r="Q1219" s="12"/>
      <c r="R1219" s="20"/>
      <c r="S1219" s="12"/>
      <c r="T1219" s="12"/>
      <c r="U1219" s="10" t="str">
        <f>HYPERLINK("https://pbs.twimg.com/profile_images/439721605988483072/cn08ZCiP.jpeg","View")</f>
        <v>View</v>
      </c>
    </row>
    <row r="1220" spans="1:21" ht="30.6">
      <c r="A1220" s="6">
        <v>43438.53628472222</v>
      </c>
      <c r="B1220" s="7" t="str">
        <f>HYPERLINK("https://twitter.com/Dalek_fan","@Dalek_fan")</f>
        <v>@Dalek_fan</v>
      </c>
      <c r="C1220" s="8" t="s">
        <v>2404</v>
      </c>
      <c r="D1220" s="9" t="s">
        <v>4200</v>
      </c>
      <c r="E1220" s="10" t="str">
        <f>HYPERLINK("https://twitter.com/Dalek_fan/status/1069922324995076101","1069922324995076101")</f>
        <v>1069922324995076101</v>
      </c>
      <c r="F1220" s="12"/>
      <c r="G1220" s="12"/>
      <c r="H1220" s="12"/>
      <c r="I1220" s="13">
        <v>0</v>
      </c>
      <c r="J1220" s="13">
        <v>1</v>
      </c>
      <c r="K1220" s="14" t="str">
        <f>HYPERLINK("http://twitter.com","Twitter Web Client")</f>
        <v>Twitter Web Client</v>
      </c>
      <c r="L1220" s="13">
        <v>2010</v>
      </c>
      <c r="M1220" s="13">
        <v>3164</v>
      </c>
      <c r="N1220" s="13">
        <v>152</v>
      </c>
      <c r="O1220" s="15"/>
      <c r="P1220" s="6">
        <v>40669.604872685188</v>
      </c>
      <c r="Q1220" s="16" t="s">
        <v>2406</v>
      </c>
      <c r="R1220" s="17" t="s">
        <v>2407</v>
      </c>
      <c r="S1220" s="12"/>
      <c r="T1220" s="12"/>
      <c r="U1220" s="10" t="str">
        <f>HYPERLINK("https://pbs.twimg.com/profile_images/998893423993147392/UwN-bspo.jpg","View")</f>
        <v>View</v>
      </c>
    </row>
    <row r="1221" spans="1:21" ht="20.399999999999999">
      <c r="A1221" s="6">
        <v>43438.535393518519</v>
      </c>
      <c r="B1221" s="7" t="str">
        <f>HYPERLINK("https://twitter.com/BegotxuBoo","@BegotxuBoo")</f>
        <v>@BegotxuBoo</v>
      </c>
      <c r="C1221" s="8" t="s">
        <v>3989</v>
      </c>
      <c r="D1221" s="9" t="s">
        <v>4201</v>
      </c>
      <c r="E1221" s="10" t="str">
        <f>HYPERLINK("https://twitter.com/BegotxuBoo/status/1069922003950469120","1069922003950469120")</f>
        <v>1069922003950469120</v>
      </c>
      <c r="F1221" s="12"/>
      <c r="G1221" s="12"/>
      <c r="H1221" s="12"/>
      <c r="I1221" s="13">
        <v>1</v>
      </c>
      <c r="J1221" s="13">
        <v>8</v>
      </c>
      <c r="K1221" s="14" t="str">
        <f t="shared" ref="K1221:K1223" si="206">HYPERLINK("http://twitter.com/download/android","Twitter for Android")</f>
        <v>Twitter for Android</v>
      </c>
      <c r="L1221" s="13">
        <v>13707</v>
      </c>
      <c r="M1221" s="13">
        <v>626</v>
      </c>
      <c r="N1221" s="13">
        <v>153</v>
      </c>
      <c r="O1221" s="15"/>
      <c r="P1221" s="6">
        <v>41150.535833333335</v>
      </c>
      <c r="Q1221" s="12"/>
      <c r="R1221" s="17" t="s">
        <v>3992</v>
      </c>
      <c r="S1221" s="12"/>
      <c r="T1221" s="12"/>
      <c r="U1221" s="10" t="str">
        <f>HYPERLINK("https://pbs.twimg.com/profile_images/534266200818483200/_78fiChL.jpeg","View")</f>
        <v>View</v>
      </c>
    </row>
    <row r="1222" spans="1:21" ht="20.399999999999999">
      <c r="A1222" s="6">
        <v>43438.534039351856</v>
      </c>
      <c r="B1222" s="7" t="str">
        <f>HYPERLINK("https://twitter.com/Teresaperezcep1","@Teresaperezcep1")</f>
        <v>@Teresaperezcep1</v>
      </c>
      <c r="C1222" s="8" t="s">
        <v>4202</v>
      </c>
      <c r="D1222" s="9" t="s">
        <v>4203</v>
      </c>
      <c r="E1222" s="10" t="str">
        <f>HYPERLINK("https://twitter.com/Teresaperezcep1/status/1069921512415744000","1069921512415744000")</f>
        <v>1069921512415744000</v>
      </c>
      <c r="F1222" s="12"/>
      <c r="G1222" s="12"/>
      <c r="H1222" s="12"/>
      <c r="I1222" s="13">
        <v>13</v>
      </c>
      <c r="J1222" s="13">
        <v>5</v>
      </c>
      <c r="K1222" s="14" t="str">
        <f t="shared" si="206"/>
        <v>Twitter for Android</v>
      </c>
      <c r="L1222" s="13">
        <v>1335</v>
      </c>
      <c r="M1222" s="13">
        <v>1627</v>
      </c>
      <c r="N1222" s="13">
        <v>5</v>
      </c>
      <c r="O1222" s="15"/>
      <c r="P1222" s="6">
        <v>42554.083391203705</v>
      </c>
      <c r="Q1222" s="16" t="s">
        <v>4204</v>
      </c>
      <c r="R1222" s="20"/>
      <c r="S1222" s="12"/>
      <c r="T1222" s="12"/>
      <c r="U1222" s="19" t="s">
        <v>359</v>
      </c>
    </row>
    <row r="1223" spans="1:21" ht="40.799999999999997">
      <c r="A1223" s="6">
        <v>43438.53396990741</v>
      </c>
      <c r="B1223" s="7" t="str">
        <f>HYPERLINK("https://twitter.com/BROCHE74","@BROCHE74")</f>
        <v>@BROCHE74</v>
      </c>
      <c r="C1223" s="8" t="s">
        <v>4205</v>
      </c>
      <c r="D1223" s="9" t="s">
        <v>4206</v>
      </c>
      <c r="E1223" s="10" t="str">
        <f>HYPERLINK("https://twitter.com/BROCHE74/status/1069921485773520896","1069921485773520896")</f>
        <v>1069921485773520896</v>
      </c>
      <c r="F1223" s="12"/>
      <c r="G1223" s="12"/>
      <c r="H1223" s="12"/>
      <c r="I1223" s="13">
        <v>0</v>
      </c>
      <c r="J1223" s="13">
        <v>0</v>
      </c>
      <c r="K1223" s="14" t="str">
        <f t="shared" si="206"/>
        <v>Twitter for Android</v>
      </c>
      <c r="L1223" s="13">
        <v>102</v>
      </c>
      <c r="M1223" s="13">
        <v>157</v>
      </c>
      <c r="N1223" s="13">
        <v>1</v>
      </c>
      <c r="O1223" s="15"/>
      <c r="P1223" s="6">
        <v>41470.39680555556</v>
      </c>
      <c r="Q1223" s="16" t="s">
        <v>4207</v>
      </c>
      <c r="R1223" s="17" t="s">
        <v>4208</v>
      </c>
      <c r="S1223" s="12"/>
      <c r="T1223" s="12"/>
      <c r="U1223" s="10" t="str">
        <f>HYPERLINK("https://pbs.twimg.com/profile_images/924052793924771842/OgBVnKnz.jpg","View")</f>
        <v>View</v>
      </c>
    </row>
    <row r="1224" spans="1:21" ht="30.6">
      <c r="A1224" s="6">
        <v>43438.531828703708</v>
      </c>
      <c r="B1224" s="7" t="str">
        <f>HYPERLINK("https://twitter.com/fermont1965","@fermont1965")</f>
        <v>@fermont1965</v>
      </c>
      <c r="C1224" s="8" t="s">
        <v>1099</v>
      </c>
      <c r="D1224" s="9" t="s">
        <v>4209</v>
      </c>
      <c r="E1224" s="10" t="str">
        <f>HYPERLINK("https://twitter.com/fermont1965/status/1069920711156862976","1069920711156862976")</f>
        <v>1069920711156862976</v>
      </c>
      <c r="F1224" s="12"/>
      <c r="G1224" s="12"/>
      <c r="H1224" s="12"/>
      <c r="I1224" s="13">
        <v>2</v>
      </c>
      <c r="J1224" s="13">
        <v>2</v>
      </c>
      <c r="K1224" s="14" t="str">
        <f t="shared" ref="K1224:K1225" si="207">HYPERLINK("http://twitter.com","Twitter Web Client")</f>
        <v>Twitter Web Client</v>
      </c>
      <c r="L1224" s="13">
        <v>35257</v>
      </c>
      <c r="M1224" s="13">
        <v>9078</v>
      </c>
      <c r="N1224" s="13">
        <v>306</v>
      </c>
      <c r="O1224" s="15"/>
      <c r="P1224" s="6">
        <v>40608.760115740741</v>
      </c>
      <c r="Q1224" s="16" t="s">
        <v>1101</v>
      </c>
      <c r="R1224" s="17" t="s">
        <v>1102</v>
      </c>
      <c r="S1224" s="12"/>
      <c r="T1224" s="12"/>
      <c r="U1224" s="10" t="str">
        <f>HYPERLINK("https://pbs.twimg.com/profile_images/617818600326438912/_o-dirdy.jpg","View")</f>
        <v>View</v>
      </c>
    </row>
    <row r="1225" spans="1:21" ht="40.799999999999997">
      <c r="A1225" s="6">
        <v>43438.529456018514</v>
      </c>
      <c r="B1225" s="7" t="str">
        <f>HYPERLINK("https://twitter.com/Bernat_Castro","@Bernat_Castro")</f>
        <v>@Bernat_Castro</v>
      </c>
      <c r="C1225" s="8" t="s">
        <v>4210</v>
      </c>
      <c r="D1225" s="9" t="s">
        <v>4211</v>
      </c>
      <c r="E1225" s="10" t="str">
        <f>HYPERLINK("https://twitter.com/Bernat_Castro/status/1069919850204684288","1069919850204684288")</f>
        <v>1069919850204684288</v>
      </c>
      <c r="F1225" s="12"/>
      <c r="G1225" s="12"/>
      <c r="H1225" s="12"/>
      <c r="I1225" s="13">
        <v>59</v>
      </c>
      <c r="J1225" s="13">
        <v>115</v>
      </c>
      <c r="K1225" s="14" t="str">
        <f t="shared" si="207"/>
        <v>Twitter Web Client</v>
      </c>
      <c r="L1225" s="13">
        <v>44372</v>
      </c>
      <c r="M1225" s="13">
        <v>3324</v>
      </c>
      <c r="N1225" s="13">
        <v>133</v>
      </c>
      <c r="O1225" s="15"/>
      <c r="P1225" s="6">
        <v>43201.593715277777</v>
      </c>
      <c r="Q1225" s="16" t="s">
        <v>4212</v>
      </c>
      <c r="R1225" s="17" t="s">
        <v>4213</v>
      </c>
      <c r="S1225" s="11" t="s">
        <v>4214</v>
      </c>
      <c r="T1225" s="12"/>
      <c r="U1225" s="10" t="str">
        <f>HYPERLINK("https://pbs.twimg.com/profile_images/1059802564957483009/Cm2t_qW0.jpg","View")</f>
        <v>View</v>
      </c>
    </row>
    <row r="1226" spans="1:21" ht="51">
      <c r="A1226" s="6">
        <v>43438.528460648144</v>
      </c>
      <c r="B1226" s="7" t="str">
        <f>HYPERLINK("https://twitter.com/JUAN032402","@JUAN032402")</f>
        <v>@JUAN032402</v>
      </c>
      <c r="C1226" s="8" t="s">
        <v>4198</v>
      </c>
      <c r="D1226" s="9" t="s">
        <v>4215</v>
      </c>
      <c r="E1226" s="10" t="str">
        <f>HYPERLINK("https://twitter.com/JUAN032402/status/1069919489305837568","1069919489305837568")</f>
        <v>1069919489305837568</v>
      </c>
      <c r="F1226" s="12"/>
      <c r="G1226" s="12"/>
      <c r="H1226" s="12"/>
      <c r="I1226" s="13">
        <v>0</v>
      </c>
      <c r="J1226" s="13">
        <v>1</v>
      </c>
      <c r="K1226" s="14" t="str">
        <f>HYPERLINK("https://mobile.twitter.com","Twitter Lite")</f>
        <v>Twitter Lite</v>
      </c>
      <c r="L1226" s="13">
        <v>70</v>
      </c>
      <c r="M1226" s="13">
        <v>105</v>
      </c>
      <c r="N1226" s="13">
        <v>2</v>
      </c>
      <c r="O1226" s="15"/>
      <c r="P1226" s="6">
        <v>41699.489537037036</v>
      </c>
      <c r="Q1226" s="12"/>
      <c r="R1226" s="20"/>
      <c r="S1226" s="12"/>
      <c r="T1226" s="12"/>
      <c r="U1226" s="10" t="str">
        <f>HYPERLINK("https://pbs.twimg.com/profile_images/439721605988483072/cn08ZCiP.jpeg","View")</f>
        <v>View</v>
      </c>
    </row>
    <row r="1227" spans="1:21" ht="30.6">
      <c r="A1227" s="6">
        <v>43438.523240740746</v>
      </c>
      <c r="B1227" s="7" t="str">
        <f>HYPERLINK("https://twitter.com/Helena_Crespi","@Helena_Crespi")</f>
        <v>@Helena_Crespi</v>
      </c>
      <c r="C1227" s="8" t="s">
        <v>4216</v>
      </c>
      <c r="D1227" s="9" t="s">
        <v>4217</v>
      </c>
      <c r="E1227" s="10" t="str">
        <f>HYPERLINK("https://twitter.com/Helena_Crespi/status/1069917601013399552","1069917601013399552")</f>
        <v>1069917601013399552</v>
      </c>
      <c r="F1227" s="12"/>
      <c r="G1227" s="11" t="s">
        <v>4218</v>
      </c>
      <c r="H1227" s="12"/>
      <c r="I1227" s="13">
        <v>4</v>
      </c>
      <c r="J1227" s="13">
        <v>0</v>
      </c>
      <c r="K1227" s="14" t="str">
        <f t="shared" ref="K1227:K1228" si="208">HYPERLINK("http://twitter.com/download/android","Twitter for Android")</f>
        <v>Twitter for Android</v>
      </c>
      <c r="L1227" s="13">
        <v>885</v>
      </c>
      <c r="M1227" s="13">
        <v>517</v>
      </c>
      <c r="N1227" s="13">
        <v>42</v>
      </c>
      <c r="O1227" s="15"/>
      <c r="P1227" s="6">
        <v>40617.972384259258</v>
      </c>
      <c r="Q1227" s="12"/>
      <c r="R1227" s="17" t="s">
        <v>4219</v>
      </c>
      <c r="S1227" s="12"/>
      <c r="T1227" s="12"/>
      <c r="U1227" s="10" t="str">
        <f>HYPERLINK("https://pbs.twimg.com/profile_images/651657522361815040/XlBOA42c.jpg","View")</f>
        <v>View</v>
      </c>
    </row>
    <row r="1228" spans="1:21" ht="40.799999999999997">
      <c r="A1228" s="6">
        <v>43438.515462962961</v>
      </c>
      <c r="B1228" s="7" t="str">
        <f>HYPERLINK("https://twitter.com/DabitxoPiston","@DabitxoPiston")</f>
        <v>@DabitxoPiston</v>
      </c>
      <c r="C1228" s="8" t="s">
        <v>4220</v>
      </c>
      <c r="D1228" s="9" t="s">
        <v>4221</v>
      </c>
      <c r="E1228" s="10" t="str">
        <f>HYPERLINK("https://twitter.com/DabitxoPiston/status/1069914781824372736","1069914781824372736")</f>
        <v>1069914781824372736</v>
      </c>
      <c r="F1228" s="12"/>
      <c r="G1228" s="12"/>
      <c r="H1228" s="12"/>
      <c r="I1228" s="13">
        <v>0</v>
      </c>
      <c r="J1228" s="13">
        <v>4</v>
      </c>
      <c r="K1228" s="14" t="str">
        <f t="shared" si="208"/>
        <v>Twitter for Android</v>
      </c>
      <c r="L1228" s="13">
        <v>5804</v>
      </c>
      <c r="M1228" s="13">
        <v>4691</v>
      </c>
      <c r="N1228" s="13">
        <v>92</v>
      </c>
      <c r="O1228" s="15"/>
      <c r="P1228" s="6">
        <v>41062.930081018516</v>
      </c>
      <c r="Q1228" s="16" t="s">
        <v>4222</v>
      </c>
      <c r="R1228" s="17" t="s">
        <v>4223</v>
      </c>
      <c r="S1228" s="11" t="s">
        <v>4224</v>
      </c>
      <c r="T1228" s="12"/>
      <c r="U1228" s="10" t="str">
        <f>HYPERLINK("https://pbs.twimg.com/profile_images/1054307397647454210/OfSFnGgj.jpg","View")</f>
        <v>View</v>
      </c>
    </row>
    <row r="1229" spans="1:21" ht="30.6">
      <c r="A1229" s="6">
        <v>43438.510150462964</v>
      </c>
      <c r="B1229" s="7" t="str">
        <f>HYPERLINK("https://twitter.com/Artsurdo","@Artsurdo")</f>
        <v>@Artsurdo</v>
      </c>
      <c r="C1229" s="8" t="s">
        <v>4225</v>
      </c>
      <c r="D1229" s="9" t="s">
        <v>4226</v>
      </c>
      <c r="E1229" s="10" t="str">
        <f>HYPERLINK("https://twitter.com/Artsurdo/status/1069912856618041344","1069912856618041344")</f>
        <v>1069912856618041344</v>
      </c>
      <c r="F1229" s="12"/>
      <c r="G1229" s="12"/>
      <c r="H1229" s="12"/>
      <c r="I1229" s="13">
        <v>0</v>
      </c>
      <c r="J1229" s="13">
        <v>0</v>
      </c>
      <c r="K1229" s="14" t="str">
        <f t="shared" ref="K1229:K1230" si="209">HYPERLINK("http://twitter.com","Twitter Web Client")</f>
        <v>Twitter Web Client</v>
      </c>
      <c r="L1229" s="13">
        <v>431</v>
      </c>
      <c r="M1229" s="13">
        <v>293</v>
      </c>
      <c r="N1229" s="13">
        <v>10</v>
      </c>
      <c r="O1229" s="15"/>
      <c r="P1229" s="6">
        <v>39813.773715277777</v>
      </c>
      <c r="Q1229" s="16" t="s">
        <v>4227</v>
      </c>
      <c r="R1229" s="17" t="s">
        <v>4228</v>
      </c>
      <c r="S1229" s="11" t="s">
        <v>4229</v>
      </c>
      <c r="T1229" s="12"/>
      <c r="U1229" s="10" t="str">
        <f>HYPERLINK("https://pbs.twimg.com/profile_images/1059909885805162499/z_iUtoaS.jpg","View")</f>
        <v>View</v>
      </c>
    </row>
    <row r="1230" spans="1:21" ht="40.799999999999997">
      <c r="A1230" s="6">
        <v>43438.508090277777</v>
      </c>
      <c r="B1230" s="7" t="str">
        <f>HYPERLINK("https://twitter.com/ricard0miranda","@ricard0miranda")</f>
        <v>@ricard0miranda</v>
      </c>
      <c r="C1230" s="8" t="s">
        <v>4230</v>
      </c>
      <c r="D1230" s="9" t="s">
        <v>4231</v>
      </c>
      <c r="E1230" s="10" t="str">
        <f>HYPERLINK("https://twitter.com/ricard0miranda/status/1069912109734084609","1069912109734084609")</f>
        <v>1069912109734084609</v>
      </c>
      <c r="F1230" s="11" t="s">
        <v>4232</v>
      </c>
      <c r="G1230" s="12"/>
      <c r="H1230" s="12"/>
      <c r="I1230" s="13">
        <v>1</v>
      </c>
      <c r="J1230" s="13">
        <v>0</v>
      </c>
      <c r="K1230" s="14" t="str">
        <f t="shared" si="209"/>
        <v>Twitter Web Client</v>
      </c>
      <c r="L1230" s="13">
        <v>272</v>
      </c>
      <c r="M1230" s="13">
        <v>317</v>
      </c>
      <c r="N1230" s="13">
        <v>2</v>
      </c>
      <c r="O1230" s="15"/>
      <c r="P1230" s="6">
        <v>40423.535497685181</v>
      </c>
      <c r="Q1230" s="16" t="s">
        <v>353</v>
      </c>
      <c r="R1230" s="17" t="s">
        <v>4233</v>
      </c>
      <c r="S1230" s="12"/>
      <c r="T1230" s="12"/>
      <c r="U1230" s="10" t="str">
        <f>HYPERLINK("https://pbs.twimg.com/profile_images/985119495252475906/0gRndtys.jpg","View")</f>
        <v>View</v>
      </c>
    </row>
    <row r="1231" spans="1:21" ht="20.399999999999999">
      <c r="A1231" s="6">
        <v>43438.506990740745</v>
      </c>
      <c r="B1231" s="7" t="str">
        <f>HYPERLINK("https://twitter.com/jl_sastre","@jl_sastre")</f>
        <v>@jl_sastre</v>
      </c>
      <c r="C1231" s="8" t="s">
        <v>4234</v>
      </c>
      <c r="D1231" s="9" t="s">
        <v>4235</v>
      </c>
      <c r="E1231" s="10" t="str">
        <f>HYPERLINK("https://twitter.com/jl_sastre/status/1069911712701255680","1069911712701255680")</f>
        <v>1069911712701255680</v>
      </c>
      <c r="F1231" s="12"/>
      <c r="G1231" s="12"/>
      <c r="H1231" s="12"/>
      <c r="I1231" s="13">
        <v>3</v>
      </c>
      <c r="J1231" s="13">
        <v>2</v>
      </c>
      <c r="K1231" s="14" t="str">
        <f>HYPERLINK("http://twitter.com/download/iphone","Twitter for iPhone")</f>
        <v>Twitter for iPhone</v>
      </c>
      <c r="L1231" s="13">
        <v>9406</v>
      </c>
      <c r="M1231" s="13">
        <v>2106</v>
      </c>
      <c r="N1231" s="13">
        <v>251</v>
      </c>
      <c r="O1231" s="15"/>
      <c r="P1231" s="6">
        <v>40466.596493055556</v>
      </c>
      <c r="Q1231" s="12"/>
      <c r="R1231" s="17" t="s">
        <v>4122</v>
      </c>
      <c r="S1231" s="12"/>
      <c r="T1231" s="12"/>
      <c r="U1231" s="10" t="str">
        <f>HYPERLINK("https://pbs.twimg.com/profile_images/897899269151227907/AdiBFPMv.jpg","View")</f>
        <v>View</v>
      </c>
    </row>
    <row r="1232" spans="1:21" ht="51">
      <c r="A1232" s="6">
        <v>43438.500590277778</v>
      </c>
      <c r="B1232" s="7" t="str">
        <f t="shared" ref="B1232:B1233" si="210">HYPERLINK("https://twitter.com/iangulochacon","@iangulochacon")</f>
        <v>@iangulochacon</v>
      </c>
      <c r="C1232" s="8" t="s">
        <v>2683</v>
      </c>
      <c r="D1232" s="9" t="s">
        <v>2684</v>
      </c>
      <c r="E1232" s="10" t="str">
        <f>HYPERLINK("https://twitter.com/iangulochacon/status/1069909390516457475","1069909390516457475")</f>
        <v>1069909390516457475</v>
      </c>
      <c r="F1232" s="12"/>
      <c r="G1232" s="11" t="s">
        <v>2685</v>
      </c>
      <c r="H1232" s="12"/>
      <c r="I1232" s="13">
        <v>5</v>
      </c>
      <c r="J1232" s="13">
        <v>2</v>
      </c>
      <c r="K1232" s="14" t="str">
        <f t="shared" ref="K1232:K1234" si="211">HYPERLINK("http://twitter.com/download/android","Twitter for Android")</f>
        <v>Twitter for Android</v>
      </c>
      <c r="L1232" s="13">
        <v>15859</v>
      </c>
      <c r="M1232" s="13">
        <v>16544</v>
      </c>
      <c r="N1232" s="13">
        <v>47</v>
      </c>
      <c r="O1232" s="15"/>
      <c r="P1232" s="6">
        <v>40213.701550925922</v>
      </c>
      <c r="Q1232" s="12"/>
      <c r="R1232" s="17" t="s">
        <v>2686</v>
      </c>
      <c r="S1232" s="12"/>
      <c r="T1232" s="12"/>
      <c r="U1232" s="10" t="str">
        <f t="shared" ref="U1232:U1233" si="212">HYPERLINK("https://pbs.twimg.com/profile_images/378800000414505215/c08cd7eacd21b304319f72f6dca86b7d.jpeg","View")</f>
        <v>View</v>
      </c>
    </row>
    <row r="1233" spans="1:21" ht="51">
      <c r="A1233" s="6">
        <v>43438.50001157407</v>
      </c>
      <c r="B1233" s="7" t="str">
        <f t="shared" si="210"/>
        <v>@iangulochacon</v>
      </c>
      <c r="C1233" s="8" t="s">
        <v>2683</v>
      </c>
      <c r="D1233" s="9" t="s">
        <v>2684</v>
      </c>
      <c r="E1233" s="10" t="str">
        <f>HYPERLINK("https://twitter.com/iangulochacon/status/1069909183540146176","1069909183540146176")</f>
        <v>1069909183540146176</v>
      </c>
      <c r="F1233" s="12"/>
      <c r="G1233" s="11" t="s">
        <v>2685</v>
      </c>
      <c r="H1233" s="12"/>
      <c r="I1233" s="13">
        <v>2</v>
      </c>
      <c r="J1233" s="13">
        <v>2</v>
      </c>
      <c r="K1233" s="14" t="str">
        <f t="shared" si="211"/>
        <v>Twitter for Android</v>
      </c>
      <c r="L1233" s="13">
        <v>15859</v>
      </c>
      <c r="M1233" s="13">
        <v>16544</v>
      </c>
      <c r="N1233" s="13">
        <v>47</v>
      </c>
      <c r="O1233" s="15"/>
      <c r="P1233" s="6">
        <v>40213.701550925922</v>
      </c>
      <c r="Q1233" s="12"/>
      <c r="R1233" s="17" t="s">
        <v>2686</v>
      </c>
      <c r="S1233" s="12"/>
      <c r="T1233" s="12"/>
      <c r="U1233" s="10" t="str">
        <f t="shared" si="212"/>
        <v>View</v>
      </c>
    </row>
    <row r="1234" spans="1:21" ht="51">
      <c r="A1234" s="6">
        <v>43438.493125000001</v>
      </c>
      <c r="B1234" s="7" t="str">
        <f>HYPERLINK("https://twitter.com/n0brainn0future","@n0brainn0future")</f>
        <v>@n0brainn0future</v>
      </c>
      <c r="C1234" s="8" t="s">
        <v>34</v>
      </c>
      <c r="D1234" s="9" t="s">
        <v>267</v>
      </c>
      <c r="E1234" s="10" t="str">
        <f>HYPERLINK("https://twitter.com/n0brainn0future/status/1069906687648256000","1069906687648256000")</f>
        <v>1069906687648256000</v>
      </c>
      <c r="F1234" s="12"/>
      <c r="G1234" s="11" t="s">
        <v>270</v>
      </c>
      <c r="H1234" s="12"/>
      <c r="I1234" s="13">
        <v>0</v>
      </c>
      <c r="J1234" s="13">
        <v>0</v>
      </c>
      <c r="K1234" s="14" t="str">
        <f t="shared" si="211"/>
        <v>Twitter for Android</v>
      </c>
      <c r="L1234" s="13">
        <v>2586</v>
      </c>
      <c r="M1234" s="13">
        <v>2608</v>
      </c>
      <c r="N1234" s="13">
        <v>4</v>
      </c>
      <c r="O1234" s="15"/>
      <c r="P1234" s="6">
        <v>43228.897094907406</v>
      </c>
      <c r="Q1234" s="12"/>
      <c r="R1234" s="17" t="s">
        <v>40</v>
      </c>
      <c r="S1234" s="12"/>
      <c r="T1234" s="12"/>
      <c r="U1234" s="10" t="str">
        <f>HYPERLINK("https://pbs.twimg.com/profile_images/1047852956190740480/ib7j2bg6.jpg","View")</f>
        <v>View</v>
      </c>
    </row>
    <row r="1235" spans="1:21" ht="40.799999999999997">
      <c r="A1235" s="6">
        <v>43438.49150462963</v>
      </c>
      <c r="B1235" s="7" t="str">
        <f>HYPERLINK("https://twitter.com/ClarenceCrane","@ClarenceCrane")</f>
        <v>@ClarenceCrane</v>
      </c>
      <c r="C1235" s="8" t="s">
        <v>4237</v>
      </c>
      <c r="D1235" s="9" t="s">
        <v>4238</v>
      </c>
      <c r="E1235" s="10" t="str">
        <f>HYPERLINK("https://twitter.com/ClarenceCrane/status/1069906099506176000","1069906099506176000")</f>
        <v>1069906099506176000</v>
      </c>
      <c r="F1235" s="12"/>
      <c r="G1235" s="11" t="s">
        <v>4239</v>
      </c>
      <c r="H1235" s="12"/>
      <c r="I1235" s="13">
        <v>0</v>
      </c>
      <c r="J1235" s="13">
        <v>4</v>
      </c>
      <c r="K1235" s="14" t="str">
        <f>HYPERLINK("http://twitter.com/#!/download/ipad","Twitter for iPad")</f>
        <v>Twitter for iPad</v>
      </c>
      <c r="L1235" s="13">
        <v>1144</v>
      </c>
      <c r="M1235" s="13">
        <v>381</v>
      </c>
      <c r="N1235" s="13">
        <v>64</v>
      </c>
      <c r="O1235" s="15"/>
      <c r="P1235" s="6">
        <v>40197.885092592594</v>
      </c>
      <c r="Q1235" s="29" t="s">
        <v>4240</v>
      </c>
      <c r="R1235" s="17" t="s">
        <v>4241</v>
      </c>
      <c r="S1235" s="11" t="s">
        <v>4242</v>
      </c>
      <c r="T1235" s="12"/>
      <c r="U1235" s="10" t="str">
        <f>HYPERLINK("https://pbs.twimg.com/profile_images/916306748444733440/hHysznMo.jpg","View")</f>
        <v>View</v>
      </c>
    </row>
    <row r="1236" spans="1:21" ht="20.399999999999999">
      <c r="A1236" s="6">
        <v>43438.487222222218</v>
      </c>
      <c r="B1236" s="7" t="str">
        <f>HYPERLINK("https://twitter.com/JC_C_A","@JC_C_A")</f>
        <v>@JC_C_A</v>
      </c>
      <c r="C1236" s="8" t="s">
        <v>630</v>
      </c>
      <c r="D1236" s="9" t="s">
        <v>4244</v>
      </c>
      <c r="E1236" s="10" t="str">
        <f>HYPERLINK("https://twitter.com/JC_C_A/status/1069904547928256513","1069904547928256513")</f>
        <v>1069904547928256513</v>
      </c>
      <c r="F1236" s="12"/>
      <c r="G1236" s="12"/>
      <c r="H1236" s="12"/>
      <c r="I1236" s="13">
        <v>1</v>
      </c>
      <c r="J1236" s="13">
        <v>0</v>
      </c>
      <c r="K1236" s="14" t="str">
        <f t="shared" ref="K1236:K1237" si="213">HYPERLINK("http://twitter.com/download/android","Twitter for Android")</f>
        <v>Twitter for Android</v>
      </c>
      <c r="L1236" s="13">
        <v>1535</v>
      </c>
      <c r="M1236" s="13">
        <v>1285</v>
      </c>
      <c r="N1236" s="13">
        <v>4</v>
      </c>
      <c r="O1236" s="15"/>
      <c r="P1236" s="6">
        <v>43055.93885416667</v>
      </c>
      <c r="Q1236" s="16" t="s">
        <v>632</v>
      </c>
      <c r="R1236" s="17" t="s">
        <v>633</v>
      </c>
      <c r="S1236" s="12"/>
      <c r="T1236" s="12"/>
      <c r="U1236" s="10" t="str">
        <f>HYPERLINK("https://pbs.twimg.com/profile_images/1029775179520647169/gj_YgLkP.jpg","View")</f>
        <v>View</v>
      </c>
    </row>
    <row r="1237" spans="1:21" ht="20.399999999999999">
      <c r="A1237" s="6">
        <v>43438.485000000001</v>
      </c>
      <c r="B1237" s="7" t="str">
        <f>HYPERLINK("https://twitter.com/PabloCantabriaI","@PabloCantabriaI")</f>
        <v>@PabloCantabriaI</v>
      </c>
      <c r="C1237" s="8" t="s">
        <v>4245</v>
      </c>
      <c r="D1237" s="9" t="s">
        <v>4246</v>
      </c>
      <c r="E1237" s="10" t="str">
        <f>HYPERLINK("https://twitter.com/PabloCantabriaI/status/1069903741053214720","1069903741053214720")</f>
        <v>1069903741053214720</v>
      </c>
      <c r="F1237" s="12"/>
      <c r="G1237" s="12"/>
      <c r="H1237" s="12"/>
      <c r="I1237" s="13">
        <v>0</v>
      </c>
      <c r="J1237" s="13">
        <v>1</v>
      </c>
      <c r="K1237" s="14" t="str">
        <f t="shared" si="213"/>
        <v>Twitter for Android</v>
      </c>
      <c r="L1237" s="13">
        <v>537</v>
      </c>
      <c r="M1237" s="13">
        <v>2223</v>
      </c>
      <c r="N1237" s="13">
        <v>4</v>
      </c>
      <c r="O1237" s="15"/>
      <c r="P1237" s="6">
        <v>41305.895613425928</v>
      </c>
      <c r="Q1237" s="16" t="s">
        <v>4247</v>
      </c>
      <c r="R1237" s="17" t="s">
        <v>4248</v>
      </c>
      <c r="S1237" s="11" t="s">
        <v>4249</v>
      </c>
      <c r="T1237" s="12"/>
      <c r="U1237" s="10" t="str">
        <f>HYPERLINK("https://pbs.twimg.com/profile_images/872754502113341441/yGSF27ZY.jpg","View")</f>
        <v>View</v>
      </c>
    </row>
    <row r="1238" spans="1:21" ht="30.6">
      <c r="A1238" s="6">
        <v>43438.483414351853</v>
      </c>
      <c r="B1238" s="7" t="str">
        <f>HYPERLINK("https://twitter.com/publico_es","@publico_es")</f>
        <v>@publico_es</v>
      </c>
      <c r="C1238" s="8" t="s">
        <v>862</v>
      </c>
      <c r="D1238" s="9" t="s">
        <v>4250</v>
      </c>
      <c r="E1238" s="10" t="str">
        <f>HYPERLINK("https://twitter.com/publico_es/status/1069903166022524930","1069903166022524930")</f>
        <v>1069903166022524930</v>
      </c>
      <c r="F1238" s="11" t="s">
        <v>4251</v>
      </c>
      <c r="G1238" s="12"/>
      <c r="H1238" s="12"/>
      <c r="I1238" s="13">
        <v>21</v>
      </c>
      <c r="J1238" s="13">
        <v>22</v>
      </c>
      <c r="K1238" s="14" t="str">
        <f>HYPERLINK("https://about.twitter.com/products/tweetdeck","TweetDeck")</f>
        <v>TweetDeck</v>
      </c>
      <c r="L1238" s="13">
        <v>913667</v>
      </c>
      <c r="M1238" s="13">
        <v>1457</v>
      </c>
      <c r="N1238" s="13">
        <v>14848</v>
      </c>
      <c r="O1238" s="19" t="s">
        <v>44</v>
      </c>
      <c r="P1238" s="6">
        <v>39779.559525462959</v>
      </c>
      <c r="Q1238" s="16" t="s">
        <v>109</v>
      </c>
      <c r="R1238" s="17" t="s">
        <v>865</v>
      </c>
      <c r="S1238" s="11" t="s">
        <v>866</v>
      </c>
      <c r="T1238" s="12"/>
      <c r="U1238" s="10" t="str">
        <f>HYPERLINK("https://pbs.twimg.com/profile_images/1048242435682422786/FdzZWHU8.jpg","View")</f>
        <v>View</v>
      </c>
    </row>
    <row r="1239" spans="1:21" ht="30.6">
      <c r="A1239" s="6">
        <v>43438.481898148151</v>
      </c>
      <c r="B1239" s="7" t="str">
        <f>HYPERLINK("https://twitter.com/linketomate","@linketomate")</f>
        <v>@linketomate</v>
      </c>
      <c r="C1239" s="8" t="s">
        <v>4252</v>
      </c>
      <c r="D1239" s="9" t="s">
        <v>4253</v>
      </c>
      <c r="E1239" s="10" t="str">
        <f>HYPERLINK("https://twitter.com/linketomate/status/1069902617839656961","1069902617839656961")</f>
        <v>1069902617839656961</v>
      </c>
      <c r="F1239" s="12"/>
      <c r="G1239" s="12"/>
      <c r="H1239" s="12"/>
      <c r="I1239" s="13">
        <v>0</v>
      </c>
      <c r="J1239" s="13">
        <v>0</v>
      </c>
      <c r="K1239" s="14" t="str">
        <f>HYPERLINK("http://twitter.com","Twitter Web Client")</f>
        <v>Twitter Web Client</v>
      </c>
      <c r="L1239" s="13">
        <v>16</v>
      </c>
      <c r="M1239" s="13">
        <v>38</v>
      </c>
      <c r="N1239" s="13">
        <v>0</v>
      </c>
      <c r="O1239" s="15"/>
      <c r="P1239" s="6">
        <v>43271.562569444446</v>
      </c>
      <c r="Q1239" s="16" t="s">
        <v>4254</v>
      </c>
      <c r="R1239" s="17" t="s">
        <v>4255</v>
      </c>
      <c r="S1239" s="11" t="s">
        <v>4256</v>
      </c>
      <c r="T1239" s="12"/>
      <c r="U1239" s="10" t="str">
        <f>HYPERLINK("https://pbs.twimg.com/profile_images/1069529941690208256/xaVAOaWr.jpg","View")</f>
        <v>View</v>
      </c>
    </row>
    <row r="1240" spans="1:21" ht="40.799999999999997">
      <c r="A1240" s="6">
        <v>43438.477685185186</v>
      </c>
      <c r="B1240" s="7" t="str">
        <f>HYPERLINK("https://twitter.com/soytxus","@soytxus")</f>
        <v>@soytxus</v>
      </c>
      <c r="C1240" s="8" t="s">
        <v>4257</v>
      </c>
      <c r="D1240" s="9" t="s">
        <v>4258</v>
      </c>
      <c r="E1240" s="10" t="str">
        <f>HYPERLINK("https://twitter.com/soytxus/status/1069901092379615232","1069901092379615232")</f>
        <v>1069901092379615232</v>
      </c>
      <c r="F1240" s="12"/>
      <c r="G1240" s="12"/>
      <c r="H1240" s="12"/>
      <c r="I1240" s="13">
        <v>0</v>
      </c>
      <c r="J1240" s="13">
        <v>1</v>
      </c>
      <c r="K1240" s="14" t="str">
        <f>HYPERLINK("https://twitterrific.com/ios","Twitterrific for iOS")</f>
        <v>Twitterrific for iOS</v>
      </c>
      <c r="L1240" s="13">
        <v>335</v>
      </c>
      <c r="M1240" s="13">
        <v>214</v>
      </c>
      <c r="N1240" s="13">
        <v>14</v>
      </c>
      <c r="O1240" s="15"/>
      <c r="P1240" s="6">
        <v>39866.812939814816</v>
      </c>
      <c r="Q1240" s="12"/>
      <c r="R1240" s="17" t="s">
        <v>4259</v>
      </c>
      <c r="S1240" s="12"/>
      <c r="T1240" s="12"/>
      <c r="U1240" s="10" t="str">
        <f>HYPERLINK("https://pbs.twimg.com/profile_images/782611341702000640/Mni3yId9.jpg","View")</f>
        <v>View</v>
      </c>
    </row>
    <row r="1241" spans="1:21" ht="20.399999999999999">
      <c r="A1241" s="6">
        <v>43438.475393518514</v>
      </c>
      <c r="B1241" s="7" t="str">
        <f>HYPERLINK("https://twitter.com/PortPartes","@PortPartes")</f>
        <v>@PortPartes</v>
      </c>
      <c r="C1241" s="8" t="s">
        <v>456</v>
      </c>
      <c r="D1241" s="9" t="s">
        <v>3323</v>
      </c>
      <c r="E1241" s="10" t="str">
        <f>HYPERLINK("https://twitter.com/PortPartes/status/1069900259348885504","1069900259348885504")</f>
        <v>1069900259348885504</v>
      </c>
      <c r="F1241" s="11" t="s">
        <v>3324</v>
      </c>
      <c r="G1241" s="12"/>
      <c r="H1241" s="12"/>
      <c r="I1241" s="13">
        <v>0</v>
      </c>
      <c r="J1241" s="13">
        <v>0</v>
      </c>
      <c r="K1241" s="14" t="str">
        <f>HYPERLINK("http://twitter.com/download/android","Twitter for Android")</f>
        <v>Twitter for Android</v>
      </c>
      <c r="L1241" s="13">
        <v>617</v>
      </c>
      <c r="M1241" s="13">
        <v>1448</v>
      </c>
      <c r="N1241" s="13">
        <v>13</v>
      </c>
      <c r="O1241" s="15"/>
      <c r="P1241" s="6">
        <v>41980.85092592593</v>
      </c>
      <c r="Q1241" s="12"/>
      <c r="R1241" s="20"/>
      <c r="S1241" s="12"/>
      <c r="T1241" s="12"/>
      <c r="U1241" s="10" t="str">
        <f>HYPERLINK("https://pbs.twimg.com/profile_images/1066620320029777920/NLOCVf5z.jpg","View")</f>
        <v>View</v>
      </c>
    </row>
    <row r="1242" spans="1:21" ht="40.799999999999997">
      <c r="A1242" s="6">
        <v>43438.471064814818</v>
      </c>
      <c r="B1242" s="7" t="str">
        <f>HYPERLINK("https://twitter.com/maiderae","@maiderae")</f>
        <v>@maiderae</v>
      </c>
      <c r="C1242" s="8" t="s">
        <v>4260</v>
      </c>
      <c r="D1242" s="9" t="s">
        <v>4261</v>
      </c>
      <c r="E1242" s="10" t="str">
        <f>HYPERLINK("https://twitter.com/maiderae/status/1069898691753009152","1069898691753009152")</f>
        <v>1069898691753009152</v>
      </c>
      <c r="F1242" s="12"/>
      <c r="G1242" s="12"/>
      <c r="H1242" s="12"/>
      <c r="I1242" s="13">
        <v>0</v>
      </c>
      <c r="J1242" s="13">
        <v>0</v>
      </c>
      <c r="K1242" s="14" t="str">
        <f>HYPERLINK("http://twitter.com/download/iphone","Twitter for iPhone")</f>
        <v>Twitter for iPhone</v>
      </c>
      <c r="L1242" s="13">
        <v>98</v>
      </c>
      <c r="M1242" s="13">
        <v>237</v>
      </c>
      <c r="N1242" s="13">
        <v>2</v>
      </c>
      <c r="O1242" s="15"/>
      <c r="P1242" s="6">
        <v>40408.67701388889</v>
      </c>
      <c r="Q1242" s="16" t="s">
        <v>2832</v>
      </c>
      <c r="R1242" s="17" t="s">
        <v>4262</v>
      </c>
      <c r="S1242" s="12"/>
      <c r="T1242" s="12"/>
      <c r="U1242" s="10" t="str">
        <f>HYPERLINK("https://pbs.twimg.com/profile_images/968671981892665344/yg6xOKqv.jpg","View")</f>
        <v>View</v>
      </c>
    </row>
    <row r="1243" spans="1:21" ht="71.400000000000006">
      <c r="A1243" s="6">
        <v>43438.463854166665</v>
      </c>
      <c r="B1243" s="7" t="str">
        <f>HYPERLINK("https://twitter.com/Vulcano1982","@Vulcano1982")</f>
        <v>@Vulcano1982</v>
      </c>
      <c r="C1243" s="8" t="s">
        <v>4263</v>
      </c>
      <c r="D1243" s="9" t="s">
        <v>4264</v>
      </c>
      <c r="E1243" s="10" t="str">
        <f>HYPERLINK("https://twitter.com/Vulcano1982/status/1069896080245035008","1069896080245035008")</f>
        <v>1069896080245035008</v>
      </c>
      <c r="F1243" s="11" t="s">
        <v>4265</v>
      </c>
      <c r="G1243" s="12"/>
      <c r="H1243" s="12"/>
      <c r="I1243" s="13">
        <v>1</v>
      </c>
      <c r="J1243" s="13">
        <v>3</v>
      </c>
      <c r="K1243" s="14" t="str">
        <f t="shared" ref="K1243:K1245" si="214">HYPERLINK("http://twitter.com/download/android","Twitter for Android")</f>
        <v>Twitter for Android</v>
      </c>
      <c r="L1243" s="13">
        <v>279</v>
      </c>
      <c r="M1243" s="13">
        <v>461</v>
      </c>
      <c r="N1243" s="13">
        <v>4</v>
      </c>
      <c r="O1243" s="15"/>
      <c r="P1243" s="6">
        <v>42972.501817129625</v>
      </c>
      <c r="Q1243" s="16" t="s">
        <v>1005</v>
      </c>
      <c r="R1243" s="17" t="s">
        <v>4266</v>
      </c>
      <c r="S1243" s="12"/>
      <c r="T1243" s="12"/>
      <c r="U1243" s="10" t="str">
        <f>HYPERLINK("https://pbs.twimg.com/profile_images/1047232989007175682/4Oj4LMbh.jpg","View")</f>
        <v>View</v>
      </c>
    </row>
    <row r="1244" spans="1:21" ht="40.799999999999997">
      <c r="A1244" s="6">
        <v>43438.459699074076</v>
      </c>
      <c r="B1244" s="7" t="str">
        <f>HYPERLINK("https://twitter.com/ManRSanSan1","@ManRSanSan1")</f>
        <v>@ManRSanSan1</v>
      </c>
      <c r="C1244" s="8" t="s">
        <v>4267</v>
      </c>
      <c r="D1244" s="9" t="s">
        <v>4268</v>
      </c>
      <c r="E1244" s="10" t="str">
        <f>HYPERLINK("https://twitter.com/ManRSanSan1/status/1069894572774514689","1069894572774514689")</f>
        <v>1069894572774514689</v>
      </c>
      <c r="F1244" s="12"/>
      <c r="G1244" s="12"/>
      <c r="H1244" s="12"/>
      <c r="I1244" s="13">
        <v>0</v>
      </c>
      <c r="J1244" s="13">
        <v>0</v>
      </c>
      <c r="K1244" s="14" t="str">
        <f t="shared" si="214"/>
        <v>Twitter for Android</v>
      </c>
      <c r="L1244" s="13">
        <v>412</v>
      </c>
      <c r="M1244" s="13">
        <v>1568</v>
      </c>
      <c r="N1244" s="13">
        <v>1</v>
      </c>
      <c r="O1244" s="15"/>
      <c r="P1244" s="6">
        <v>42798.815150462964</v>
      </c>
      <c r="Q1244" s="16" t="s">
        <v>4269</v>
      </c>
      <c r="R1244" s="17" t="s">
        <v>4270</v>
      </c>
      <c r="S1244" s="12"/>
      <c r="T1244" s="12"/>
      <c r="U1244" s="10" t="str">
        <f>HYPERLINK("https://pbs.twimg.com/profile_images/1062792207386722305/DRj1n9Ze.jpg","View")</f>
        <v>View</v>
      </c>
    </row>
    <row r="1245" spans="1:21" ht="20.399999999999999">
      <c r="A1245" s="6">
        <v>43438.456238425926</v>
      </c>
      <c r="B1245" s="7" t="str">
        <f>HYPERLINK("https://twitter.com/ga_rafa7","@ga_rafa7")</f>
        <v>@ga_rafa7</v>
      </c>
      <c r="C1245" s="8" t="s">
        <v>4271</v>
      </c>
      <c r="D1245" s="9" t="s">
        <v>4272</v>
      </c>
      <c r="E1245" s="10" t="str">
        <f>HYPERLINK("https://twitter.com/ga_rafa7/status/1069893318488801280","1069893318488801280")</f>
        <v>1069893318488801280</v>
      </c>
      <c r="F1245" s="12"/>
      <c r="G1245" s="12"/>
      <c r="H1245" s="12"/>
      <c r="I1245" s="13">
        <v>0</v>
      </c>
      <c r="J1245" s="13">
        <v>0</v>
      </c>
      <c r="K1245" s="14" t="str">
        <f t="shared" si="214"/>
        <v>Twitter for Android</v>
      </c>
      <c r="L1245" s="13">
        <v>123</v>
      </c>
      <c r="M1245" s="13">
        <v>268</v>
      </c>
      <c r="N1245" s="13">
        <v>6</v>
      </c>
      <c r="O1245" s="15"/>
      <c r="P1245" s="6">
        <v>40976.769178240742</v>
      </c>
      <c r="Q1245" s="16" t="s">
        <v>1455</v>
      </c>
      <c r="R1245" s="17" t="s">
        <v>4273</v>
      </c>
      <c r="S1245" s="12"/>
      <c r="T1245" s="12"/>
      <c r="U1245" s="10" t="str">
        <f>HYPERLINK("https://pbs.twimg.com/profile_images/747246139104239620/NBoUozxC.jpg","View")</f>
        <v>View</v>
      </c>
    </row>
    <row r="1246" spans="1:21" ht="40.799999999999997">
      <c r="A1246" s="6">
        <v>43438.456041666665</v>
      </c>
      <c r="B1246" s="7" t="str">
        <f>HYPERLINK("https://twitter.com/davidenguita","@davidenguita")</f>
        <v>@davidenguita</v>
      </c>
      <c r="C1246" s="8" t="s">
        <v>4274</v>
      </c>
      <c r="D1246" s="9" t="s">
        <v>4275</v>
      </c>
      <c r="E1246" s="10" t="str">
        <f>HYPERLINK("https://twitter.com/davidenguita/status/1069893246682390528","1069893246682390528")</f>
        <v>1069893246682390528</v>
      </c>
      <c r="F1246" s="12"/>
      <c r="G1246" s="11" t="s">
        <v>4276</v>
      </c>
      <c r="H1246" s="12"/>
      <c r="I1246" s="13">
        <v>2</v>
      </c>
      <c r="J1246" s="13">
        <v>4</v>
      </c>
      <c r="K1246" s="14" t="str">
        <f>HYPERLINK("http://twitter.com/download/iphone","Twitter for iPhone")</f>
        <v>Twitter for iPhone</v>
      </c>
      <c r="L1246" s="13">
        <v>31114</v>
      </c>
      <c r="M1246" s="13">
        <v>16189</v>
      </c>
      <c r="N1246" s="13">
        <v>168</v>
      </c>
      <c r="O1246" s="19" t="s">
        <v>44</v>
      </c>
      <c r="P1246" s="6">
        <v>40434.807442129633</v>
      </c>
      <c r="Q1246" s="16" t="s">
        <v>30</v>
      </c>
      <c r="R1246" s="17" t="s">
        <v>4277</v>
      </c>
      <c r="S1246" s="11" t="s">
        <v>4278</v>
      </c>
      <c r="T1246" s="12"/>
      <c r="U1246" s="10" t="str">
        <f>HYPERLINK("https://pbs.twimg.com/profile_images/1039584780038356992/_l-wZfHH.jpg","View")</f>
        <v>View</v>
      </c>
    </row>
    <row r="1247" spans="1:21" ht="30.6">
      <c r="A1247" s="6">
        <v>43438.454780092594</v>
      </c>
      <c r="B1247" s="7" t="str">
        <f>HYPERLINK("https://twitter.com/aberron","@aberron")</f>
        <v>@aberron</v>
      </c>
      <c r="C1247" s="8" t="s">
        <v>4279</v>
      </c>
      <c r="D1247" s="9" t="s">
        <v>4280</v>
      </c>
      <c r="E1247" s="10" t="str">
        <f>HYPERLINK("https://twitter.com/aberron/status/1069892791852036096","1069892791852036096")</f>
        <v>1069892791852036096</v>
      </c>
      <c r="F1247" s="12"/>
      <c r="G1247" s="12"/>
      <c r="H1247" s="12"/>
      <c r="I1247" s="13">
        <v>30</v>
      </c>
      <c r="J1247" s="13">
        <v>53</v>
      </c>
      <c r="K1247" s="14" t="str">
        <f>HYPERLINK("http://twitter.com","Twitter Web Client")</f>
        <v>Twitter Web Client</v>
      </c>
      <c r="L1247" s="13">
        <v>64876</v>
      </c>
      <c r="M1247" s="13">
        <v>1003</v>
      </c>
      <c r="N1247" s="13">
        <v>2768</v>
      </c>
      <c r="O1247" s="19" t="s">
        <v>44</v>
      </c>
      <c r="P1247" s="6">
        <v>39401.485254629632</v>
      </c>
      <c r="Q1247" s="16" t="s">
        <v>75</v>
      </c>
      <c r="R1247" s="17" t="s">
        <v>4281</v>
      </c>
      <c r="S1247" s="11" t="s">
        <v>4282</v>
      </c>
      <c r="T1247" s="12"/>
      <c r="U1247" s="10" t="str">
        <f>HYPERLINK("https://pbs.twimg.com/profile_images/952643664530083850/3Pn-4Yv9.jpg","View")</f>
        <v>View</v>
      </c>
    </row>
    <row r="1248" spans="1:21" ht="61.2">
      <c r="A1248" s="6">
        <v>43438.453206018516</v>
      </c>
      <c r="B1248" s="7" t="str">
        <f>HYPERLINK("https://twitter.com/mhcastrillon","@mhcastrillon")</f>
        <v>@mhcastrillon</v>
      </c>
      <c r="C1248" s="8" t="s">
        <v>4283</v>
      </c>
      <c r="D1248" s="9" t="s">
        <v>4284</v>
      </c>
      <c r="E1248" s="10" t="str">
        <f>HYPERLINK("https://twitter.com/mhcastrillon/status/1069892218658439168","1069892218658439168")</f>
        <v>1069892218658439168</v>
      </c>
      <c r="F1248" s="11" t="s">
        <v>4285</v>
      </c>
      <c r="G1248" s="12"/>
      <c r="H1248" s="12"/>
      <c r="I1248" s="13">
        <v>0</v>
      </c>
      <c r="J1248" s="13">
        <v>0</v>
      </c>
      <c r="K1248" s="14" t="str">
        <f>HYPERLINK("http://twitter.com/download/android","Twitter for Android")</f>
        <v>Twitter for Android</v>
      </c>
      <c r="L1248" s="13">
        <v>454</v>
      </c>
      <c r="M1248" s="13">
        <v>772</v>
      </c>
      <c r="N1248" s="13">
        <v>37</v>
      </c>
      <c r="O1248" s="15"/>
      <c r="P1248" s="6">
        <v>39911.049386574072</v>
      </c>
      <c r="Q1248" s="16" t="s">
        <v>86</v>
      </c>
      <c r="R1248" s="17" t="s">
        <v>4286</v>
      </c>
      <c r="S1248" s="12"/>
      <c r="T1248" s="12"/>
      <c r="U1248" s="10" t="str">
        <f>HYPERLINK("https://pbs.twimg.com/profile_images/923894260973408256/B_Nd5Ht2.jpg","View")</f>
        <v>View</v>
      </c>
    </row>
    <row r="1249" spans="1:21" ht="40.799999999999997">
      <c r="A1249" s="6">
        <v>43438.449814814812</v>
      </c>
      <c r="B1249" s="7" t="str">
        <f>HYPERLINK("https://twitter.com/carnecrudaradio","@carnecrudaradio")</f>
        <v>@carnecrudaradio</v>
      </c>
      <c r="C1249" s="8" t="s">
        <v>4287</v>
      </c>
      <c r="D1249" s="9" t="s">
        <v>4288</v>
      </c>
      <c r="E1249" s="10" t="str">
        <f>HYPERLINK("https://twitter.com/carnecrudaradio/status/1069890989962207232","1069890989962207232")</f>
        <v>1069890989962207232</v>
      </c>
      <c r="F1249" s="11" t="s">
        <v>4289</v>
      </c>
      <c r="G1249" s="11" t="s">
        <v>4290</v>
      </c>
      <c r="H1249" s="12"/>
      <c r="I1249" s="13">
        <v>19</v>
      </c>
      <c r="J1249" s="13">
        <v>17</v>
      </c>
      <c r="K1249" s="14" t="str">
        <f>HYPERLINK("https://about.twitter.com/products/tweetdeck","TweetDeck")</f>
        <v>TweetDeck</v>
      </c>
      <c r="L1249" s="13">
        <v>140007</v>
      </c>
      <c r="M1249" s="13">
        <v>2530</v>
      </c>
      <c r="N1249" s="13">
        <v>2341</v>
      </c>
      <c r="O1249" s="15"/>
      <c r="P1249" s="6">
        <v>41150.800520833334</v>
      </c>
      <c r="Q1249" s="16" t="s">
        <v>4291</v>
      </c>
      <c r="R1249" s="17" t="s">
        <v>4292</v>
      </c>
      <c r="S1249" s="11" t="s">
        <v>4289</v>
      </c>
      <c r="T1249" s="12"/>
      <c r="U1249" s="10" t="str">
        <f>HYPERLINK("https://pbs.twimg.com/profile_images/859313931923468288/eepnLDMu.jpg","View")</f>
        <v>View</v>
      </c>
    </row>
    <row r="1250" spans="1:21" ht="20.399999999999999">
      <c r="A1250" s="6">
        <v>43438.44809027778</v>
      </c>
      <c r="B1250" s="7" t="str">
        <f>HYPERLINK("https://twitter.com/mccluskey2001","@mccluskey2001")</f>
        <v>@mccluskey2001</v>
      </c>
      <c r="C1250" s="8" t="s">
        <v>4293</v>
      </c>
      <c r="D1250" s="9" t="s">
        <v>4294</v>
      </c>
      <c r="E1250" s="10" t="str">
        <f>HYPERLINK("https://twitter.com/mccluskey2001/status/1069890366428626945","1069890366428626945")</f>
        <v>1069890366428626945</v>
      </c>
      <c r="F1250" s="12"/>
      <c r="G1250" s="12"/>
      <c r="H1250" s="12"/>
      <c r="I1250" s="13">
        <v>0</v>
      </c>
      <c r="J1250" s="13">
        <v>1</v>
      </c>
      <c r="K1250" s="14" t="str">
        <f t="shared" ref="K1250:K1252" si="215">HYPERLINK("http://twitter.com","Twitter Web Client")</f>
        <v>Twitter Web Client</v>
      </c>
      <c r="L1250" s="13">
        <v>288</v>
      </c>
      <c r="M1250" s="13">
        <v>614</v>
      </c>
      <c r="N1250" s="13">
        <v>3</v>
      </c>
      <c r="O1250" s="15"/>
      <c r="P1250" s="6">
        <v>41588.818645833337</v>
      </c>
      <c r="Q1250" s="16" t="s">
        <v>4296</v>
      </c>
      <c r="R1250" s="20"/>
      <c r="S1250" s="12"/>
      <c r="T1250" s="12"/>
      <c r="U1250" s="10" t="str">
        <f>HYPERLINK("https://pbs.twimg.com/profile_images/1057193747711123456/LQx0nUxW.jpg","View")</f>
        <v>View</v>
      </c>
    </row>
    <row r="1251" spans="1:21" ht="71.400000000000006">
      <c r="A1251" s="6">
        <v>43438.446886574078</v>
      </c>
      <c r="B1251" s="7" t="str">
        <f>HYPERLINK("https://twitter.com/ABJ6691","@ABJ6691")</f>
        <v>@ABJ6691</v>
      </c>
      <c r="C1251" s="8" t="s">
        <v>4045</v>
      </c>
      <c r="D1251" s="9" t="s">
        <v>4297</v>
      </c>
      <c r="E1251" s="10" t="str">
        <f>HYPERLINK("https://twitter.com/ABJ6691/status/1069889929625391104","1069889929625391104")</f>
        <v>1069889929625391104</v>
      </c>
      <c r="F1251" s="16" t="s">
        <v>3612</v>
      </c>
      <c r="G1251" s="12"/>
      <c r="H1251" s="12"/>
      <c r="I1251" s="13">
        <v>1</v>
      </c>
      <c r="J1251" s="13">
        <v>1</v>
      </c>
      <c r="K1251" s="14" t="str">
        <f t="shared" si="215"/>
        <v>Twitter Web Client</v>
      </c>
      <c r="L1251" s="13">
        <v>1190</v>
      </c>
      <c r="M1251" s="13">
        <v>1037</v>
      </c>
      <c r="N1251" s="13">
        <v>13</v>
      </c>
      <c r="O1251" s="15"/>
      <c r="P1251" s="6">
        <v>41788.552662037036</v>
      </c>
      <c r="Q1251" s="12"/>
      <c r="R1251" s="17" t="s">
        <v>4047</v>
      </c>
      <c r="S1251" s="12"/>
      <c r="T1251" s="12"/>
      <c r="U1251" s="10" t="str">
        <f>HYPERLINK("https://pbs.twimg.com/profile_images/998485520349970432/4qWdVkQL.jpg","View")</f>
        <v>View</v>
      </c>
    </row>
    <row r="1252" spans="1:21" ht="30.6">
      <c r="A1252" s="6">
        <v>43438.446851851855</v>
      </c>
      <c r="B1252" s="7" t="str">
        <f>HYPERLINK("https://twitter.com/diurte","@diurte")</f>
        <v>@diurte</v>
      </c>
      <c r="C1252" s="8" t="s">
        <v>4298</v>
      </c>
      <c r="D1252" s="9" t="s">
        <v>4299</v>
      </c>
      <c r="E1252" s="10" t="str">
        <f>HYPERLINK("https://twitter.com/diurte/status/1069889915335467008","1069889915335467008")</f>
        <v>1069889915335467008</v>
      </c>
      <c r="F1252" s="16" t="s">
        <v>4300</v>
      </c>
      <c r="G1252" s="12"/>
      <c r="H1252" s="12"/>
      <c r="I1252" s="13">
        <v>0</v>
      </c>
      <c r="J1252" s="13">
        <v>0</v>
      </c>
      <c r="K1252" s="14" t="str">
        <f t="shared" si="215"/>
        <v>Twitter Web Client</v>
      </c>
      <c r="L1252" s="13">
        <v>812</v>
      </c>
      <c r="M1252" s="13">
        <v>682</v>
      </c>
      <c r="N1252" s="13">
        <v>20</v>
      </c>
      <c r="O1252" s="15"/>
      <c r="P1252" s="6">
        <v>40869.448645833334</v>
      </c>
      <c r="Q1252" s="16" t="s">
        <v>191</v>
      </c>
      <c r="R1252" s="17" t="s">
        <v>4301</v>
      </c>
      <c r="S1252" s="11" t="s">
        <v>4302</v>
      </c>
      <c r="T1252" s="12"/>
      <c r="U1252" s="10" t="str">
        <f>HYPERLINK("https://pbs.twimg.com/profile_images/868072798786289664/cUvmF9Bv.jpg","View")</f>
        <v>View</v>
      </c>
    </row>
    <row r="1253" spans="1:21" ht="40.799999999999997">
      <c r="A1253" s="6">
        <v>43438.445648148147</v>
      </c>
      <c r="B1253" s="7" t="str">
        <f>HYPERLINK("https://twitter.com/ecd_","@ecd_")</f>
        <v>@ecd_</v>
      </c>
      <c r="C1253" s="8" t="s">
        <v>740</v>
      </c>
      <c r="D1253" s="9" t="s">
        <v>3707</v>
      </c>
      <c r="E1253" s="10" t="str">
        <f>HYPERLINK("https://twitter.com/ecd_/status/1069889481120063488","1069889481120063488")</f>
        <v>1069889481120063488</v>
      </c>
      <c r="F1253" s="11" t="s">
        <v>4303</v>
      </c>
      <c r="G1253" s="12"/>
      <c r="H1253" s="12"/>
      <c r="I1253" s="13">
        <v>0</v>
      </c>
      <c r="J1253" s="13">
        <v>1</v>
      </c>
      <c r="K1253" s="14" t="str">
        <f>HYPERLINK("http://dogtrack.es","DogTrack_Oficial")</f>
        <v>DogTrack_Oficial</v>
      </c>
      <c r="L1253" s="13">
        <v>88447</v>
      </c>
      <c r="M1253" s="13">
        <v>364</v>
      </c>
      <c r="N1253" s="13">
        <v>2650</v>
      </c>
      <c r="O1253" s="15"/>
      <c r="P1253" s="6">
        <v>39931.730115740742</v>
      </c>
      <c r="Q1253" s="26" t="s">
        <v>743</v>
      </c>
      <c r="R1253" s="17" t="s">
        <v>744</v>
      </c>
      <c r="S1253" s="11" t="s">
        <v>745</v>
      </c>
      <c r="T1253" s="12"/>
      <c r="U1253" s="10" t="str">
        <f>HYPERLINK("https://pbs.twimg.com/profile_images/720595850238554113/Y8DGFyzZ.jpg","View")</f>
        <v>View</v>
      </c>
    </row>
    <row r="1254" spans="1:21" ht="40.799999999999997">
      <c r="A1254" s="6">
        <v>43438.445173611108</v>
      </c>
      <c r="B1254" s="7" t="str">
        <f>HYPERLINK("https://twitter.com/franciscorubira","@franciscorubira")</f>
        <v>@franciscorubira</v>
      </c>
      <c r="C1254" s="8" t="s">
        <v>1328</v>
      </c>
      <c r="D1254" s="9" t="s">
        <v>3707</v>
      </c>
      <c r="E1254" s="10" t="str">
        <f>HYPERLINK("https://twitter.com/franciscorubira/status/1069889310550151170","1069889310550151170")</f>
        <v>1069889310550151170</v>
      </c>
      <c r="F1254" s="11" t="s">
        <v>4304</v>
      </c>
      <c r="G1254" s="11" t="s">
        <v>4305</v>
      </c>
      <c r="H1254" s="12"/>
      <c r="I1254" s="13">
        <v>0</v>
      </c>
      <c r="J1254" s="13">
        <v>0</v>
      </c>
      <c r="K1254" s="14" t="str">
        <f>HYPERLINK("https://dlvrit.com/","dlvr.it")</f>
        <v>dlvr.it</v>
      </c>
      <c r="L1254" s="13">
        <v>2436</v>
      </c>
      <c r="M1254" s="13">
        <v>466</v>
      </c>
      <c r="N1254" s="13">
        <v>43</v>
      </c>
      <c r="O1254" s="15"/>
      <c r="P1254" s="6">
        <v>39871.859317129631</v>
      </c>
      <c r="Q1254" s="16" t="s">
        <v>109</v>
      </c>
      <c r="R1254" s="17" t="s">
        <v>1331</v>
      </c>
      <c r="S1254" s="11" t="s">
        <v>1332</v>
      </c>
      <c r="T1254" s="12"/>
      <c r="U1254" s="10" t="str">
        <f>HYPERLINK("https://pbs.twimg.com/profile_images/3347587725/a033bb22fbb57ca30cfe28855cc75a4a.jpeg","View")</f>
        <v>View</v>
      </c>
    </row>
    <row r="1255" spans="1:21" ht="30.6">
      <c r="A1255" s="6">
        <v>43438.443356481483</v>
      </c>
      <c r="B1255" s="7" t="str">
        <f>HYPERLINK("https://twitter.com/CastellanoAvila","@CastellanoAvila")</f>
        <v>@CastellanoAvila</v>
      </c>
      <c r="C1255" s="8" t="s">
        <v>1253</v>
      </c>
      <c r="D1255" s="9" t="s">
        <v>4188</v>
      </c>
      <c r="E1255" s="10" t="str">
        <f>HYPERLINK("https://twitter.com/CastellanoAvila/status/1069888649888755712","1069888649888755712")</f>
        <v>1069888649888755712</v>
      </c>
      <c r="F1255" s="11" t="s">
        <v>4189</v>
      </c>
      <c r="G1255" s="12"/>
      <c r="H1255" s="12"/>
      <c r="I1255" s="13">
        <v>2</v>
      </c>
      <c r="J1255" s="13">
        <v>1</v>
      </c>
      <c r="K1255" s="14" t="str">
        <f t="shared" ref="K1255:K1257" si="216">HYPERLINK("http://twitter.com","Twitter Web Client")</f>
        <v>Twitter Web Client</v>
      </c>
      <c r="L1255" s="13">
        <v>2020</v>
      </c>
      <c r="M1255" s="13">
        <v>1757</v>
      </c>
      <c r="N1255" s="13">
        <v>68</v>
      </c>
      <c r="O1255" s="15"/>
      <c r="P1255" s="6">
        <v>41994.527951388889</v>
      </c>
      <c r="Q1255" s="16" t="s">
        <v>48</v>
      </c>
      <c r="R1255" s="17" t="s">
        <v>1255</v>
      </c>
      <c r="S1255" s="12"/>
      <c r="T1255" s="12"/>
      <c r="U1255" s="10" t="str">
        <f>HYPERLINK("https://pbs.twimg.com/profile_images/1032721451617603584/YdbfqNxm.jpg","View")</f>
        <v>View</v>
      </c>
    </row>
    <row r="1256" spans="1:21" ht="71.400000000000006">
      <c r="A1256" s="6">
        <v>43438.441898148143</v>
      </c>
      <c r="B1256" s="7" t="str">
        <f>HYPERLINK("https://twitter.com/CasPPoSOe","@CasPPoSOe")</f>
        <v>@CasPPoSOe</v>
      </c>
      <c r="C1256" s="8" t="s">
        <v>4306</v>
      </c>
      <c r="D1256" s="9" t="s">
        <v>4307</v>
      </c>
      <c r="E1256" s="10" t="str">
        <f>HYPERLINK("https://twitter.com/CasPPoSOe/status/1069888124019462145","1069888124019462145")</f>
        <v>1069888124019462145</v>
      </c>
      <c r="F1256" s="11" t="s">
        <v>4308</v>
      </c>
      <c r="G1256" s="11" t="s">
        <v>4309</v>
      </c>
      <c r="H1256" s="12"/>
      <c r="I1256" s="13">
        <v>0</v>
      </c>
      <c r="J1256" s="13">
        <v>0</v>
      </c>
      <c r="K1256" s="14" t="str">
        <f t="shared" si="216"/>
        <v>Twitter Web Client</v>
      </c>
      <c r="L1256" s="13">
        <v>416</v>
      </c>
      <c r="M1256" s="13">
        <v>154</v>
      </c>
      <c r="N1256" s="13">
        <v>1</v>
      </c>
      <c r="O1256" s="15"/>
      <c r="P1256" s="6">
        <v>42678.637881944444</v>
      </c>
      <c r="Q1256" s="12"/>
      <c r="R1256" s="17" t="s">
        <v>4310</v>
      </c>
      <c r="S1256" s="12"/>
      <c r="T1256" s="12"/>
      <c r="U1256" s="10" t="str">
        <f>HYPERLINK("https://pbs.twimg.com/profile_images/956546093923426307/iAFlJhvn.jpg","View")</f>
        <v>View</v>
      </c>
    </row>
    <row r="1257" spans="1:21" ht="81.599999999999994">
      <c r="A1257" s="6">
        <v>43438.439513888894</v>
      </c>
      <c r="B1257" s="7" t="str">
        <f>HYPERLINK("https://twitter.com/nosty79","@nosty79")</f>
        <v>@nosty79</v>
      </c>
      <c r="C1257" s="8" t="s">
        <v>4311</v>
      </c>
      <c r="D1257" s="9" t="s">
        <v>4312</v>
      </c>
      <c r="E1257" s="10" t="str">
        <f>HYPERLINK("https://twitter.com/nosty79/status/1069887258239660032","1069887258239660032")</f>
        <v>1069887258239660032</v>
      </c>
      <c r="F1257" s="11" t="s">
        <v>4313</v>
      </c>
      <c r="G1257" s="12"/>
      <c r="H1257" s="12"/>
      <c r="I1257" s="13">
        <v>0</v>
      </c>
      <c r="J1257" s="13">
        <v>0</v>
      </c>
      <c r="K1257" s="14" t="str">
        <f t="shared" si="216"/>
        <v>Twitter Web Client</v>
      </c>
      <c r="L1257" s="13">
        <v>688</v>
      </c>
      <c r="M1257" s="13">
        <v>179</v>
      </c>
      <c r="N1257" s="13">
        <v>8</v>
      </c>
      <c r="O1257" s="15"/>
      <c r="P1257" s="6">
        <v>40414.569861111115</v>
      </c>
      <c r="Q1257" s="16" t="s">
        <v>4314</v>
      </c>
      <c r="R1257" s="17" t="s">
        <v>4315</v>
      </c>
      <c r="S1257" s="12"/>
      <c r="T1257" s="12"/>
      <c r="U1257" s="10" t="str">
        <f>HYPERLINK("https://pbs.twimg.com/profile_images/1060142207859068928/gdcKAEAt.jpg","View")</f>
        <v>View</v>
      </c>
    </row>
    <row r="1258" spans="1:21" ht="30.6">
      <c r="A1258" s="6">
        <v>43438.437395833331</v>
      </c>
      <c r="B1258" s="7" t="str">
        <f>HYPERLINK("https://twitter.com/juanmalamet","@juanmalamet")</f>
        <v>@juanmalamet</v>
      </c>
      <c r="C1258" s="8" t="s">
        <v>329</v>
      </c>
      <c r="D1258" s="9" t="s">
        <v>4316</v>
      </c>
      <c r="E1258" s="10" t="str">
        <f>HYPERLINK("https://twitter.com/juanmalamet/status/1069886489188810752","1069886489188810752")</f>
        <v>1069886489188810752</v>
      </c>
      <c r="F1258" s="11" t="s">
        <v>3324</v>
      </c>
      <c r="G1258" s="12"/>
      <c r="H1258" s="12"/>
      <c r="I1258" s="13">
        <v>2</v>
      </c>
      <c r="J1258" s="13">
        <v>2</v>
      </c>
      <c r="K1258" s="14" t="str">
        <f>HYPERLINK("http://twitter.com/download/android","Twitter for Android")</f>
        <v>Twitter for Android</v>
      </c>
      <c r="L1258" s="13">
        <v>5097</v>
      </c>
      <c r="M1258" s="13">
        <v>1758</v>
      </c>
      <c r="N1258" s="13">
        <v>151</v>
      </c>
      <c r="O1258" s="15"/>
      <c r="P1258" s="6">
        <v>40417.810729166667</v>
      </c>
      <c r="Q1258" s="16" t="s">
        <v>332</v>
      </c>
      <c r="R1258" s="17" t="s">
        <v>333</v>
      </c>
      <c r="S1258" s="12"/>
      <c r="T1258" s="12"/>
      <c r="U1258" s="10" t="str">
        <f>HYPERLINK("https://pbs.twimg.com/profile_images/1038932595508240384/Cdfn4Nk8.jpg","View")</f>
        <v>View</v>
      </c>
    </row>
    <row r="1259" spans="1:21" ht="40.799999999999997">
      <c r="A1259" s="6">
        <v>43438.436874999999</v>
      </c>
      <c r="B1259" s="7" t="str">
        <f>HYPERLINK("https://twitter.com/elnacionalcat_e","@elnacionalcat_e")</f>
        <v>@elnacionalcat_e</v>
      </c>
      <c r="C1259" s="8" t="s">
        <v>4002</v>
      </c>
      <c r="D1259" s="9" t="s">
        <v>4317</v>
      </c>
      <c r="E1259" s="10" t="str">
        <f>HYPERLINK("https://twitter.com/elnacionalcat_e/status/1069886301648969729","1069886301648969729")</f>
        <v>1069886301648969729</v>
      </c>
      <c r="F1259" s="11" t="s">
        <v>4318</v>
      </c>
      <c r="G1259" s="12"/>
      <c r="H1259" s="12"/>
      <c r="I1259" s="13">
        <v>0</v>
      </c>
      <c r="J1259" s="13">
        <v>0</v>
      </c>
      <c r="K1259" s="14" t="str">
        <f>HYPERLINK("https://about.twitter.com/products/tweetdeck","TweetDeck")</f>
        <v>TweetDeck</v>
      </c>
      <c r="L1259" s="13">
        <v>5553</v>
      </c>
      <c r="M1259" s="13">
        <v>355</v>
      </c>
      <c r="N1259" s="13">
        <v>169</v>
      </c>
      <c r="O1259" s="15"/>
      <c r="P1259" s="6">
        <v>42247.840567129635</v>
      </c>
      <c r="Q1259" s="16" t="s">
        <v>4156</v>
      </c>
      <c r="R1259" s="17" t="s">
        <v>4157</v>
      </c>
      <c r="S1259" s="11" t="s">
        <v>4158</v>
      </c>
      <c r="T1259" s="12"/>
      <c r="U1259" s="10" t="str">
        <f>HYPERLINK("https://pbs.twimg.com/profile_images/646298514385960960/VEutSP7L.png","View")</f>
        <v>View</v>
      </c>
    </row>
    <row r="1260" spans="1:21" ht="40.799999999999997">
      <c r="A1260" s="6">
        <v>43438.436388888891</v>
      </c>
      <c r="B1260" s="7" t="str">
        <f>HYPERLINK("https://twitter.com/JoseApezarena","@JoseApezarena")</f>
        <v>@JoseApezarena</v>
      </c>
      <c r="C1260" s="8" t="s">
        <v>4319</v>
      </c>
      <c r="D1260" s="9" t="s">
        <v>1582</v>
      </c>
      <c r="E1260" s="10" t="str">
        <f>HYPERLINK("https://twitter.com/JoseApezarena/status/1069886126268272640","1069886126268272640")</f>
        <v>1069886126268272640</v>
      </c>
      <c r="F1260" s="11" t="s">
        <v>1583</v>
      </c>
      <c r="G1260" s="12"/>
      <c r="H1260" s="12"/>
      <c r="I1260" s="13">
        <v>1</v>
      </c>
      <c r="J1260" s="13">
        <v>0</v>
      </c>
      <c r="K1260" s="14" t="str">
        <f>HYPERLINK("http://twitter.com","Twitter Web Client")</f>
        <v>Twitter Web Client</v>
      </c>
      <c r="L1260" s="13">
        <v>4125</v>
      </c>
      <c r="M1260" s="13">
        <v>447</v>
      </c>
      <c r="N1260" s="13">
        <v>151</v>
      </c>
      <c r="O1260" s="15"/>
      <c r="P1260" s="6">
        <v>40443.819351851853</v>
      </c>
      <c r="Q1260" s="16" t="s">
        <v>48</v>
      </c>
      <c r="R1260" s="17" t="s">
        <v>4320</v>
      </c>
      <c r="S1260" s="11" t="s">
        <v>4321</v>
      </c>
      <c r="T1260" s="12"/>
      <c r="U1260" s="10" t="str">
        <f>HYPERLINK("https://pbs.twimg.com/profile_images/1399899568/JoseApezarena.jpg","View")</f>
        <v>View</v>
      </c>
    </row>
    <row r="1261" spans="1:21" ht="20.399999999999999">
      <c r="A1261" s="6">
        <v>43438.433425925927</v>
      </c>
      <c r="B1261" s="7" t="str">
        <f>HYPERLINK("https://twitter.com/En_Blau_es","@En_Blau_es")</f>
        <v>@En_Blau_es</v>
      </c>
      <c r="C1261" s="8" t="s">
        <v>4039</v>
      </c>
      <c r="D1261" s="9" t="s">
        <v>4322</v>
      </c>
      <c r="E1261" s="10" t="str">
        <f>HYPERLINK("https://twitter.com/En_Blau_es/status/1069885051255570432","1069885051255570432")</f>
        <v>1069885051255570432</v>
      </c>
      <c r="F1261" s="11" t="s">
        <v>4318</v>
      </c>
      <c r="G1261" s="12"/>
      <c r="H1261" s="12"/>
      <c r="I1261" s="13">
        <v>0</v>
      </c>
      <c r="J1261" s="13">
        <v>0</v>
      </c>
      <c r="K1261" s="14" t="str">
        <f>HYPERLINK("http://www.wearebab.com","Comitium5 BAB")</f>
        <v>Comitium5 BAB</v>
      </c>
      <c r="L1261" s="13">
        <v>389</v>
      </c>
      <c r="M1261" s="13">
        <v>98</v>
      </c>
      <c r="N1261" s="13">
        <v>4</v>
      </c>
      <c r="O1261" s="15"/>
      <c r="P1261" s="6">
        <v>42824.566701388889</v>
      </c>
      <c r="Q1261" s="12"/>
      <c r="R1261" s="20"/>
      <c r="S1261" s="11" t="s">
        <v>4042</v>
      </c>
      <c r="T1261" s="12"/>
      <c r="U1261" s="10" t="str">
        <f>HYPERLINK("https://pbs.twimg.com/profile_images/849621382346534912/rD-7feps.jpg","View")</f>
        <v>View</v>
      </c>
    </row>
    <row r="1262" spans="1:21" ht="20.399999999999999">
      <c r="A1262" s="6">
        <v>43438.427083333328</v>
      </c>
      <c r="B1262" s="7" t="str">
        <f>HYPERLINK("https://twitter.com/La_SER","@La_SER")</f>
        <v>@La_SER</v>
      </c>
      <c r="C1262" s="8" t="s">
        <v>1105</v>
      </c>
      <c r="D1262" s="9" t="s">
        <v>4323</v>
      </c>
      <c r="E1262" s="10" t="str">
        <f>HYPERLINK("https://twitter.com/La_SER/status/1069882752688771072","1069882752688771072")</f>
        <v>1069882752688771072</v>
      </c>
      <c r="F1262" s="11" t="s">
        <v>4324</v>
      </c>
      <c r="G1262" s="12"/>
      <c r="H1262" s="12"/>
      <c r="I1262" s="13">
        <v>1</v>
      </c>
      <c r="J1262" s="13">
        <v>4</v>
      </c>
      <c r="K1262" s="14" t="str">
        <f>HYPERLINK("https://about.twitter.com/products/tweetdeck","TweetDeck")</f>
        <v>TweetDeck</v>
      </c>
      <c r="L1262" s="13">
        <v>1154070</v>
      </c>
      <c r="M1262" s="13">
        <v>783</v>
      </c>
      <c r="N1262" s="13">
        <v>10631</v>
      </c>
      <c r="O1262" s="19" t="s">
        <v>44</v>
      </c>
      <c r="P1262" s="6">
        <v>39965.754942129628</v>
      </c>
      <c r="Q1262" s="12"/>
      <c r="R1262" s="17" t="s">
        <v>4325</v>
      </c>
      <c r="S1262" s="11" t="s">
        <v>4326</v>
      </c>
      <c r="T1262" s="12"/>
      <c r="U1262" s="10" t="str">
        <f>HYPERLINK("https://pbs.twimg.com/profile_images/1039929065774481409/zsYMDMZj.jpg","View")</f>
        <v>View</v>
      </c>
    </row>
    <row r="1263" spans="1:21" ht="40.799999999999997">
      <c r="A1263" s="6">
        <v>43438.421956018516</v>
      </c>
      <c r="B1263" s="7" t="str">
        <f>HYPERLINK("https://twitter.com/Veaparic","@Veaparic")</f>
        <v>@Veaparic</v>
      </c>
      <c r="C1263" s="8" t="s">
        <v>2660</v>
      </c>
      <c r="D1263" s="9" t="s">
        <v>4327</v>
      </c>
      <c r="E1263" s="10" t="str">
        <f>HYPERLINK("https://twitter.com/Veaparic/status/1069880895841161221","1069880895841161221")</f>
        <v>1069880895841161221</v>
      </c>
      <c r="F1263" s="11" t="s">
        <v>4328</v>
      </c>
      <c r="G1263" s="12"/>
      <c r="H1263" s="12"/>
      <c r="I1263" s="13">
        <v>0</v>
      </c>
      <c r="J1263" s="13">
        <v>0</v>
      </c>
      <c r="K1263" s="14" t="str">
        <f>HYPERLINK("http://twitter.com","Twitter Web Client")</f>
        <v>Twitter Web Client</v>
      </c>
      <c r="L1263" s="13">
        <v>743</v>
      </c>
      <c r="M1263" s="13">
        <v>1467</v>
      </c>
      <c r="N1263" s="13">
        <v>3</v>
      </c>
      <c r="O1263" s="15"/>
      <c r="P1263" s="6">
        <v>41370.759814814817</v>
      </c>
      <c r="Q1263" s="16" t="s">
        <v>328</v>
      </c>
      <c r="R1263" s="17" t="s">
        <v>2663</v>
      </c>
      <c r="S1263" s="12"/>
      <c r="T1263" s="12"/>
      <c r="U1263" s="10" t="str">
        <f>HYPERLINK("https://pbs.twimg.com/profile_images/942129890295517184/1dspVY0o.jpg","View")</f>
        <v>View</v>
      </c>
    </row>
    <row r="1264" spans="1:21" ht="20.399999999999999">
      <c r="A1264" s="6">
        <v>43438.419490740736</v>
      </c>
      <c r="B1264" s="7" t="str">
        <f>HYPERLINK("https://twitter.com/machistofeles","@machistofeles")</f>
        <v>@machistofeles</v>
      </c>
      <c r="C1264" s="8" t="s">
        <v>4329</v>
      </c>
      <c r="D1264" s="9" t="s">
        <v>4330</v>
      </c>
      <c r="E1264" s="10" t="str">
        <f>HYPERLINK("https://twitter.com/machistofeles/status/1069880003649830913","1069880003649830913")</f>
        <v>1069880003649830913</v>
      </c>
      <c r="F1264" s="12"/>
      <c r="G1264" s="12"/>
      <c r="H1264" s="12"/>
      <c r="I1264" s="13">
        <v>0</v>
      </c>
      <c r="J1264" s="13">
        <v>0</v>
      </c>
      <c r="K1264" s="14" t="str">
        <f>HYPERLINK("http://twitter.com/download/android","Twitter for Android")</f>
        <v>Twitter for Android</v>
      </c>
      <c r="L1264" s="13">
        <v>300</v>
      </c>
      <c r="M1264" s="13">
        <v>659</v>
      </c>
      <c r="N1264" s="13">
        <v>9</v>
      </c>
      <c r="O1264" s="15"/>
      <c r="P1264" s="6">
        <v>42558.278935185182</v>
      </c>
      <c r="Q1264" s="16" t="s">
        <v>4331</v>
      </c>
      <c r="R1264" s="17" t="s">
        <v>4332</v>
      </c>
      <c r="S1264" s="12"/>
      <c r="T1264" s="12"/>
      <c r="U1264" s="10" t="str">
        <f>HYPERLINK("https://pbs.twimg.com/profile_images/1005801245557383169/KkgekTn7.jpg","View")</f>
        <v>View</v>
      </c>
    </row>
    <row r="1265" spans="1:21" ht="30.6">
      <c r="A1265" s="6">
        <v>43438.413842592592</v>
      </c>
      <c r="B1265" s="7" t="str">
        <f>HYPERLINK("https://twitter.com/AlquimistaAst","@AlquimistaAst")</f>
        <v>@AlquimistaAst</v>
      </c>
      <c r="C1265" s="8" t="s">
        <v>4333</v>
      </c>
      <c r="D1265" s="9" t="s">
        <v>4334</v>
      </c>
      <c r="E1265" s="10" t="str">
        <f>HYPERLINK("https://twitter.com/AlquimistaAst/status/1069877954589716480","1069877954589716480")</f>
        <v>1069877954589716480</v>
      </c>
      <c r="F1265" s="12"/>
      <c r="G1265" s="12"/>
      <c r="H1265" s="12"/>
      <c r="I1265" s="13">
        <v>0</v>
      </c>
      <c r="J1265" s="13">
        <v>3</v>
      </c>
      <c r="K1265" s="14" t="str">
        <f>HYPERLINK("http://twitter.com/download/iphone","Twitter for iPhone")</f>
        <v>Twitter for iPhone</v>
      </c>
      <c r="L1265" s="13">
        <v>14513</v>
      </c>
      <c r="M1265" s="13">
        <v>15283</v>
      </c>
      <c r="N1265" s="13">
        <v>55</v>
      </c>
      <c r="O1265" s="15"/>
      <c r="P1265" s="6">
        <v>42112.907870370371</v>
      </c>
      <c r="Q1265" s="16" t="s">
        <v>3954</v>
      </c>
      <c r="R1265" s="17" t="s">
        <v>4335</v>
      </c>
      <c r="S1265" s="11" t="s">
        <v>4336</v>
      </c>
      <c r="T1265" s="12"/>
      <c r="U1265" s="10" t="str">
        <f>HYPERLINK("https://pbs.twimg.com/profile_images/1050665509111312384/7wxoiHuT.jpg","View")</f>
        <v>View</v>
      </c>
    </row>
    <row r="1266" spans="1:21" ht="30.6">
      <c r="A1266" s="6">
        <v>43438.403935185182</v>
      </c>
      <c r="B1266" s="7" t="str">
        <f>HYPERLINK("https://twitter.com/jordipsalvador","@jordipsalvador")</f>
        <v>@jordipsalvador</v>
      </c>
      <c r="C1266" s="8" t="s">
        <v>4337</v>
      </c>
      <c r="D1266" s="9" t="s">
        <v>4338</v>
      </c>
      <c r="E1266" s="10" t="str">
        <f>HYPERLINK("https://twitter.com/jordipsalvador/status/1069874363850260485","1069874363850260485")</f>
        <v>1069874363850260485</v>
      </c>
      <c r="F1266" s="11" t="s">
        <v>4339</v>
      </c>
      <c r="G1266" s="12"/>
      <c r="H1266" s="12"/>
      <c r="I1266" s="13">
        <v>0</v>
      </c>
      <c r="J1266" s="13">
        <v>0</v>
      </c>
      <c r="K1266" s="14" t="str">
        <f>HYPERLINK("https://ifttt.com","IFTTT")</f>
        <v>IFTTT</v>
      </c>
      <c r="L1266" s="13">
        <v>1074</v>
      </c>
      <c r="M1266" s="13">
        <v>2240</v>
      </c>
      <c r="N1266" s="13">
        <v>79</v>
      </c>
      <c r="O1266" s="15"/>
      <c r="P1266" s="6">
        <v>40679.809872685189</v>
      </c>
      <c r="Q1266" s="16" t="s">
        <v>4340</v>
      </c>
      <c r="R1266" s="17" t="s">
        <v>4341</v>
      </c>
      <c r="S1266" s="11" t="s">
        <v>4342</v>
      </c>
      <c r="T1266" s="12"/>
      <c r="U1266" s="10" t="str">
        <f>HYPERLINK("https://pbs.twimg.com/profile_images/1066513792836820992/6JqhMdq3.jpg","View")</f>
        <v>View</v>
      </c>
    </row>
    <row r="1267" spans="1:21" ht="40.799999999999997">
      <c r="A1267" s="6">
        <v>43438.401296296295</v>
      </c>
      <c r="B1267" s="7" t="str">
        <f>HYPERLINK("https://twitter.com/Xabibs1974","@Xabibs1974")</f>
        <v>@Xabibs1974</v>
      </c>
      <c r="C1267" s="8" t="s">
        <v>4343</v>
      </c>
      <c r="D1267" s="9" t="s">
        <v>4344</v>
      </c>
      <c r="E1267" s="10" t="str">
        <f>HYPERLINK("https://twitter.com/Xabibs1974/status/1069873410002612227","1069873410002612227")</f>
        <v>1069873410002612227</v>
      </c>
      <c r="F1267" s="16" t="s">
        <v>4345</v>
      </c>
      <c r="G1267" s="12"/>
      <c r="H1267" s="12"/>
      <c r="I1267" s="13">
        <v>0</v>
      </c>
      <c r="J1267" s="13">
        <v>0</v>
      </c>
      <c r="K1267" s="14" t="str">
        <f>HYPERLINK("http://twitter.com/download/android","Twitter for Android")</f>
        <v>Twitter for Android</v>
      </c>
      <c r="L1267" s="13">
        <v>122</v>
      </c>
      <c r="M1267" s="13">
        <v>307</v>
      </c>
      <c r="N1267" s="13">
        <v>0</v>
      </c>
      <c r="O1267" s="15"/>
      <c r="P1267" s="6">
        <v>42834.578032407408</v>
      </c>
      <c r="Q1267" s="12"/>
      <c r="R1267" s="17" t="s">
        <v>4346</v>
      </c>
      <c r="S1267" s="12"/>
      <c r="T1267" s="12"/>
      <c r="U1267" s="10" t="str">
        <f>HYPERLINK("https://pbs.twimg.com/profile_images/1057028820866342912/F3bZ5HWs.jpg","View")</f>
        <v>View</v>
      </c>
    </row>
    <row r="1268" spans="1:21" ht="61.2">
      <c r="A1268" s="6">
        <v>43438.398310185185</v>
      </c>
      <c r="B1268" s="7" t="str">
        <f>HYPERLINK("https://twitter.com/LozanolucasMa","@LozanolucasMa")</f>
        <v>@LozanolucasMa</v>
      </c>
      <c r="C1268" s="8" t="s">
        <v>4347</v>
      </c>
      <c r="D1268" s="9" t="s">
        <v>4348</v>
      </c>
      <c r="E1268" s="10" t="str">
        <f>HYPERLINK("https://twitter.com/LozanolucasMa/status/1069872326764826626","1069872326764826626")</f>
        <v>1069872326764826626</v>
      </c>
      <c r="F1268" s="11" t="s">
        <v>4349</v>
      </c>
      <c r="G1268" s="11" t="s">
        <v>4350</v>
      </c>
      <c r="H1268" s="12"/>
      <c r="I1268" s="13">
        <v>0</v>
      </c>
      <c r="J1268" s="13">
        <v>0</v>
      </c>
      <c r="K1268" s="14" t="str">
        <f>HYPERLINK("http://twitter.com","Twitter Web Client")</f>
        <v>Twitter Web Client</v>
      </c>
      <c r="L1268" s="13">
        <v>450</v>
      </c>
      <c r="M1268" s="13">
        <v>1152</v>
      </c>
      <c r="N1268" s="13">
        <v>0</v>
      </c>
      <c r="O1268" s="15"/>
      <c r="P1268" s="6">
        <v>41717.907546296294</v>
      </c>
      <c r="Q1268" s="12"/>
      <c r="R1268" s="20"/>
      <c r="S1268" s="12"/>
      <c r="T1268" s="12"/>
      <c r="U1268" s="10" t="str">
        <f>HYPERLINK("https://pbs.twimg.com/profile_images/624313560189943808/ap1eWpfR.jpg","View")</f>
        <v>View</v>
      </c>
    </row>
    <row r="1269" spans="1:21" ht="30.6">
      <c r="A1269" s="6">
        <v>43438.397569444445</v>
      </c>
      <c r="B1269" s="7" t="str">
        <f>HYPERLINK("https://twitter.com/acritor","@acritor")</f>
        <v>@acritor</v>
      </c>
      <c r="C1269" s="8" t="s">
        <v>4351</v>
      </c>
      <c r="D1269" s="9" t="s">
        <v>4352</v>
      </c>
      <c r="E1269" s="10" t="str">
        <f>HYPERLINK("https://twitter.com/acritor/status/1069872059394744320","1069872059394744320")</f>
        <v>1069872059394744320</v>
      </c>
      <c r="F1269" s="11" t="s">
        <v>4353</v>
      </c>
      <c r="G1269" s="12"/>
      <c r="H1269" s="12"/>
      <c r="I1269" s="13">
        <v>0</v>
      </c>
      <c r="J1269" s="13">
        <v>0</v>
      </c>
      <c r="K1269" s="14" t="str">
        <f t="shared" ref="K1269:K1272" si="217">HYPERLINK("http://twitter.com/download/android","Twitter for Android")</f>
        <v>Twitter for Android</v>
      </c>
      <c r="L1269" s="13">
        <v>146</v>
      </c>
      <c r="M1269" s="13">
        <v>254</v>
      </c>
      <c r="N1269" s="13">
        <v>0</v>
      </c>
      <c r="O1269" s="15"/>
      <c r="P1269" s="6">
        <v>41247.881828703699</v>
      </c>
      <c r="Q1269" s="12"/>
      <c r="R1269" s="17" t="s">
        <v>4354</v>
      </c>
      <c r="S1269" s="12"/>
      <c r="T1269" s="12"/>
      <c r="U1269" s="10" t="str">
        <f>HYPERLINK("https://pbs.twimg.com/profile_images/769611537380245504/PEws1A5M.jpg","View")</f>
        <v>View</v>
      </c>
    </row>
    <row r="1270" spans="1:21" ht="30.6">
      <c r="A1270" s="6">
        <v>43438.394606481481</v>
      </c>
      <c r="B1270" s="7" t="str">
        <f>HYPERLINK("https://twitter.com/Loidimartinez","@Loidimartinez")</f>
        <v>@Loidimartinez</v>
      </c>
      <c r="C1270" s="8" t="s">
        <v>274</v>
      </c>
      <c r="D1270" s="9" t="s">
        <v>275</v>
      </c>
      <c r="E1270" s="10" t="str">
        <f>HYPERLINK("https://twitter.com/Loidimartinez/status/1069870983140528129","1069870983140528129")</f>
        <v>1069870983140528129</v>
      </c>
      <c r="F1270" s="12"/>
      <c r="G1270" s="11" t="s">
        <v>277</v>
      </c>
      <c r="H1270" s="12"/>
      <c r="I1270" s="13">
        <v>0</v>
      </c>
      <c r="J1270" s="13">
        <v>1</v>
      </c>
      <c r="K1270" s="14" t="str">
        <f t="shared" si="217"/>
        <v>Twitter for Android</v>
      </c>
      <c r="L1270" s="13">
        <v>164</v>
      </c>
      <c r="M1270" s="13">
        <v>516</v>
      </c>
      <c r="N1270" s="13">
        <v>2</v>
      </c>
      <c r="O1270" s="15"/>
      <c r="P1270" s="6">
        <v>40124.563472222224</v>
      </c>
      <c r="Q1270" s="12"/>
      <c r="R1270" s="17" t="s">
        <v>279</v>
      </c>
      <c r="S1270" s="12"/>
      <c r="T1270" s="12"/>
      <c r="U1270" s="10" t="str">
        <f>HYPERLINK("https://pbs.twimg.com/profile_images/939978028947517440/9gqZSKOm.jpg","View")</f>
        <v>View</v>
      </c>
    </row>
    <row r="1271" spans="1:21" ht="40.799999999999997">
      <c r="A1271" s="6">
        <v>43438.392291666663</v>
      </c>
      <c r="B1271" s="7" t="str">
        <f>HYPERLINK("https://twitter.com/marionabarcelo","@marionabarcelo")</f>
        <v>@marionabarcelo</v>
      </c>
      <c r="C1271" s="8" t="s">
        <v>4355</v>
      </c>
      <c r="D1271" s="9" t="s">
        <v>4356</v>
      </c>
      <c r="E1271" s="10" t="str">
        <f>HYPERLINK("https://twitter.com/marionabarcelo/status/1069870144527237120","1069870144527237120")</f>
        <v>1069870144527237120</v>
      </c>
      <c r="F1271" s="12"/>
      <c r="G1271" s="12"/>
      <c r="H1271" s="12"/>
      <c r="I1271" s="13">
        <v>1</v>
      </c>
      <c r="J1271" s="13">
        <v>1</v>
      </c>
      <c r="K1271" s="14" t="str">
        <f t="shared" si="217"/>
        <v>Twitter for Android</v>
      </c>
      <c r="L1271" s="13">
        <v>1093</v>
      </c>
      <c r="M1271" s="13">
        <v>1610</v>
      </c>
      <c r="N1271" s="13">
        <v>0</v>
      </c>
      <c r="O1271" s="15"/>
      <c r="P1271" s="6">
        <v>42616.39775462963</v>
      </c>
      <c r="Q1271" s="12"/>
      <c r="R1271" s="17" t="s">
        <v>4357</v>
      </c>
      <c r="S1271" s="12"/>
      <c r="T1271" s="12"/>
      <c r="U1271" s="10" t="str">
        <f>HYPERLINK("https://pbs.twimg.com/profile_images/1022167352677421058/9_ZmfG6k.jpg","View")</f>
        <v>View</v>
      </c>
    </row>
    <row r="1272" spans="1:21" ht="40.799999999999997">
      <c r="A1272" s="6">
        <v>43438.391122685185</v>
      </c>
      <c r="B1272" s="7" t="str">
        <f>HYPERLINK("https://twitter.com/raulponce26","@raulponce26")</f>
        <v>@raulponce26</v>
      </c>
      <c r="C1272" s="8" t="s">
        <v>4358</v>
      </c>
      <c r="D1272" s="9" t="s">
        <v>4359</v>
      </c>
      <c r="E1272" s="10" t="str">
        <f>HYPERLINK("https://twitter.com/raulponce26/status/1069869722072743938","1069869722072743938")</f>
        <v>1069869722072743938</v>
      </c>
      <c r="F1272" s="11" t="s">
        <v>4360</v>
      </c>
      <c r="G1272" s="12"/>
      <c r="H1272" s="12"/>
      <c r="I1272" s="13">
        <v>0</v>
      </c>
      <c r="J1272" s="13">
        <v>1</v>
      </c>
      <c r="K1272" s="14" t="str">
        <f t="shared" si="217"/>
        <v>Twitter for Android</v>
      </c>
      <c r="L1272" s="13">
        <v>206</v>
      </c>
      <c r="M1272" s="13">
        <v>471</v>
      </c>
      <c r="N1272" s="13">
        <v>0</v>
      </c>
      <c r="O1272" s="15"/>
      <c r="P1272" s="6">
        <v>41579.9762962963</v>
      </c>
      <c r="Q1272" s="16" t="s">
        <v>4361</v>
      </c>
      <c r="R1272" s="17" t="s">
        <v>4362</v>
      </c>
      <c r="S1272" s="12"/>
      <c r="T1272" s="12"/>
      <c r="U1272" s="10" t="str">
        <f>HYPERLINK("https://pbs.twimg.com/profile_images/1040671733685075968/lAC10EFK.jpg","View")</f>
        <v>View</v>
      </c>
    </row>
    <row r="1273" spans="1:21" ht="40.799999999999997">
      <c r="A1273" s="6">
        <v>43438.390694444446</v>
      </c>
      <c r="B1273" s="7" t="str">
        <f>HYPERLINK("https://twitter.com/ABJ6691","@ABJ6691")</f>
        <v>@ABJ6691</v>
      </c>
      <c r="C1273" s="8" t="s">
        <v>4045</v>
      </c>
      <c r="D1273" s="9" t="s">
        <v>4363</v>
      </c>
      <c r="E1273" s="10" t="str">
        <f>HYPERLINK("https://twitter.com/ABJ6691/status/1069869566321418240","1069869566321418240")</f>
        <v>1069869566321418240</v>
      </c>
      <c r="F1273" s="12"/>
      <c r="G1273" s="12"/>
      <c r="H1273" s="12"/>
      <c r="I1273" s="13">
        <v>1</v>
      </c>
      <c r="J1273" s="13">
        <v>5</v>
      </c>
      <c r="K1273" s="14" t="str">
        <f>HYPERLINK("http://twitter.com","Twitter Web Client")</f>
        <v>Twitter Web Client</v>
      </c>
      <c r="L1273" s="13">
        <v>1190</v>
      </c>
      <c r="M1273" s="13">
        <v>1037</v>
      </c>
      <c r="N1273" s="13">
        <v>13</v>
      </c>
      <c r="O1273" s="15"/>
      <c r="P1273" s="6">
        <v>41788.552662037036</v>
      </c>
      <c r="Q1273" s="12"/>
      <c r="R1273" s="17" t="s">
        <v>4047</v>
      </c>
      <c r="S1273" s="12"/>
      <c r="T1273" s="12"/>
      <c r="U1273" s="10" t="str">
        <f>HYPERLINK("https://pbs.twimg.com/profile_images/998485520349970432/4qWdVkQL.jpg","View")</f>
        <v>View</v>
      </c>
    </row>
    <row r="1274" spans="1:21" ht="40.799999999999997">
      <c r="A1274" s="6">
        <v>43438.387881944444</v>
      </c>
      <c r="B1274" s="7" t="str">
        <f>HYPERLINK("https://twitter.com/cemetry_gates","@cemetry_gates")</f>
        <v>@cemetry_gates</v>
      </c>
      <c r="C1274" s="8" t="s">
        <v>4364</v>
      </c>
      <c r="D1274" s="9" t="s">
        <v>4365</v>
      </c>
      <c r="E1274" s="10" t="str">
        <f>HYPERLINK("https://twitter.com/cemetry_gates/status/1069868546275115008","1069868546275115008")</f>
        <v>1069868546275115008</v>
      </c>
      <c r="F1274" s="12"/>
      <c r="G1274" s="12"/>
      <c r="H1274" s="12"/>
      <c r="I1274" s="13">
        <v>0</v>
      </c>
      <c r="J1274" s="13">
        <v>2</v>
      </c>
      <c r="K1274" s="14" t="str">
        <f>HYPERLINK("http://twitter.com/download/iphone","Twitter for iPhone")</f>
        <v>Twitter for iPhone</v>
      </c>
      <c r="L1274" s="13">
        <v>285</v>
      </c>
      <c r="M1274" s="13">
        <v>450</v>
      </c>
      <c r="N1274" s="13">
        <v>19</v>
      </c>
      <c r="O1274" s="15"/>
      <c r="P1274" s="6">
        <v>40740.947199074071</v>
      </c>
      <c r="Q1274" s="16" t="s">
        <v>229</v>
      </c>
      <c r="R1274" s="17" t="s">
        <v>4366</v>
      </c>
      <c r="S1274" s="11" t="s">
        <v>4367</v>
      </c>
      <c r="T1274" s="12"/>
      <c r="U1274" s="10" t="str">
        <f>HYPERLINK("https://pbs.twimg.com/profile_images/1031961046657843200/oQEwNTwI.jpg","View")</f>
        <v>View</v>
      </c>
    </row>
    <row r="1275" spans="1:21" ht="30.6">
      <c r="A1275" s="6">
        <v>43438.384884259256</v>
      </c>
      <c r="B1275" s="7" t="str">
        <f>HYPERLINK("https://twitter.com/VND18","@VND18")</f>
        <v>@VND18</v>
      </c>
      <c r="C1275" s="8" t="s">
        <v>4369</v>
      </c>
      <c r="D1275" s="9" t="s">
        <v>4370</v>
      </c>
      <c r="E1275" s="10" t="str">
        <f>HYPERLINK("https://twitter.com/VND18/status/1069867459207987200","1069867459207987200")</f>
        <v>1069867459207987200</v>
      </c>
      <c r="F1275" s="11" t="s">
        <v>4371</v>
      </c>
      <c r="G1275" s="12"/>
      <c r="H1275" s="12"/>
      <c r="I1275" s="13">
        <v>0</v>
      </c>
      <c r="J1275" s="13">
        <v>0</v>
      </c>
      <c r="K1275" s="14" t="str">
        <f t="shared" ref="K1275:K1276" si="218">HYPERLINK("http://twitter.com/download/android","Twitter for Android")</f>
        <v>Twitter for Android</v>
      </c>
      <c r="L1275" s="13">
        <v>578</v>
      </c>
      <c r="M1275" s="13">
        <v>585</v>
      </c>
      <c r="N1275" s="13">
        <v>10</v>
      </c>
      <c r="O1275" s="15"/>
      <c r="P1275" s="6">
        <v>40848.675335648149</v>
      </c>
      <c r="Q1275" s="16" t="s">
        <v>4372</v>
      </c>
      <c r="R1275" s="17" t="s">
        <v>4373</v>
      </c>
      <c r="S1275" s="11" t="s">
        <v>4374</v>
      </c>
      <c r="T1275" s="12"/>
      <c r="U1275" s="10" t="str">
        <f>HYPERLINK("https://pbs.twimg.com/profile_images/1022256487723356160/yqc85f_o.jpg","View")</f>
        <v>View</v>
      </c>
    </row>
    <row r="1276" spans="1:21" ht="40.799999999999997">
      <c r="A1276" s="6">
        <v>43438.383391203708</v>
      </c>
      <c r="B1276" s="7" t="str">
        <f>HYPERLINK("https://twitter.com/AgustinLesta","@AgustinLesta")</f>
        <v>@AgustinLesta</v>
      </c>
      <c r="C1276" s="8" t="s">
        <v>4375</v>
      </c>
      <c r="D1276" s="9" t="s">
        <v>4376</v>
      </c>
      <c r="E1276" s="10" t="str">
        <f>HYPERLINK("https://twitter.com/AgustinLesta/status/1069866918436319232","1069866918436319232")</f>
        <v>1069866918436319232</v>
      </c>
      <c r="F1276" s="11" t="s">
        <v>3307</v>
      </c>
      <c r="G1276" s="12"/>
      <c r="H1276" s="12"/>
      <c r="I1276" s="13">
        <v>0</v>
      </c>
      <c r="J1276" s="13">
        <v>0</v>
      </c>
      <c r="K1276" s="14" t="str">
        <f t="shared" si="218"/>
        <v>Twitter for Android</v>
      </c>
      <c r="L1276" s="13">
        <v>466</v>
      </c>
      <c r="M1276" s="13">
        <v>295</v>
      </c>
      <c r="N1276" s="13">
        <v>14</v>
      </c>
      <c r="O1276" s="15"/>
      <c r="P1276" s="6">
        <v>41041.539953703701</v>
      </c>
      <c r="Q1276" s="16" t="s">
        <v>4377</v>
      </c>
      <c r="R1276" s="17" t="s">
        <v>4378</v>
      </c>
      <c r="S1276" s="12"/>
      <c r="T1276" s="12"/>
      <c r="U1276" s="10" t="str">
        <f>HYPERLINK("https://pbs.twimg.com/profile_images/996509181086715905/kNYMaSIf.jpg","View")</f>
        <v>View</v>
      </c>
    </row>
    <row r="1277" spans="1:21" ht="20.399999999999999">
      <c r="A1277" s="6">
        <v>43438.380555555559</v>
      </c>
      <c r="B1277" s="7" t="str">
        <f>HYPERLINK("https://twitter.com/excometals","@excometals")</f>
        <v>@excometals</v>
      </c>
      <c r="C1277" s="8" t="s">
        <v>2263</v>
      </c>
      <c r="D1277" s="9" t="s">
        <v>4379</v>
      </c>
      <c r="E1277" s="10" t="str">
        <f>HYPERLINK("https://twitter.com/excometals/status/1069865893394608129","1069865893394608129")</f>
        <v>1069865893394608129</v>
      </c>
      <c r="F1277" s="11" t="s">
        <v>4380</v>
      </c>
      <c r="G1277" s="12"/>
      <c r="H1277" s="12"/>
      <c r="I1277" s="13">
        <v>0</v>
      </c>
      <c r="J1277" s="13">
        <v>0</v>
      </c>
      <c r="K1277" s="14" t="str">
        <f>HYPERLINK("http://www.facebook.com/twitter","Facebook")</f>
        <v>Facebook</v>
      </c>
      <c r="L1277" s="13">
        <v>963</v>
      </c>
      <c r="M1277" s="13">
        <v>499</v>
      </c>
      <c r="N1277" s="13">
        <v>57</v>
      </c>
      <c r="O1277" s="15"/>
      <c r="P1277" s="6">
        <v>40623.696446759262</v>
      </c>
      <c r="Q1277" s="16" t="s">
        <v>48</v>
      </c>
      <c r="R1277" s="20"/>
      <c r="S1277" s="11" t="s">
        <v>2266</v>
      </c>
      <c r="T1277" s="12"/>
      <c r="U1277" s="10" t="str">
        <f>HYPERLINK("https://pbs.twimg.com/profile_images/1046250365228863488/Zl0YB5zT.jpg","View")</f>
        <v>View</v>
      </c>
    </row>
    <row r="1278" spans="1:21" ht="51">
      <c r="A1278" s="6">
        <v>43438.378414351857</v>
      </c>
      <c r="B1278" s="7" t="str">
        <f>HYPERLINK("https://twitter.com/pvallin","@pvallin")</f>
        <v>@pvallin</v>
      </c>
      <c r="C1278" s="8" t="s">
        <v>4381</v>
      </c>
      <c r="D1278" s="9" t="s">
        <v>4382</v>
      </c>
      <c r="E1278" s="10" t="str">
        <f>HYPERLINK("https://twitter.com/pvallin/status/1069865116341071873","1069865116341071873")</f>
        <v>1069865116341071873</v>
      </c>
      <c r="F1278" s="11" t="s">
        <v>4360</v>
      </c>
      <c r="G1278" s="12"/>
      <c r="H1278" s="12"/>
      <c r="I1278" s="13">
        <v>10</v>
      </c>
      <c r="J1278" s="13">
        <v>15</v>
      </c>
      <c r="K1278" s="14" t="str">
        <f>HYPERLINK("http://twitter.com","Twitter Web Client")</f>
        <v>Twitter Web Client</v>
      </c>
      <c r="L1278" s="13">
        <v>24261</v>
      </c>
      <c r="M1278" s="13">
        <v>1783</v>
      </c>
      <c r="N1278" s="13">
        <v>325</v>
      </c>
      <c r="O1278" s="15"/>
      <c r="P1278" s="6">
        <v>40917.703530092593</v>
      </c>
      <c r="Q1278" s="16" t="s">
        <v>48</v>
      </c>
      <c r="R1278" s="17" t="s">
        <v>4122</v>
      </c>
      <c r="S1278" s="12"/>
      <c r="T1278" s="12"/>
      <c r="U1278" s="10" t="str">
        <f>HYPERLINK("https://pbs.twimg.com/profile_images/993607003254779905/wxCU4O8X.jpg","View")</f>
        <v>View</v>
      </c>
    </row>
    <row r="1279" spans="1:21" ht="51">
      <c r="A1279" s="6">
        <v>43438.376562500001</v>
      </c>
      <c r="B1279" s="7" t="str">
        <f>HYPERLINK("https://twitter.com/jesusmsanchez77","@jesusmsanchez77")</f>
        <v>@jesusmsanchez77</v>
      </c>
      <c r="C1279" s="8" t="s">
        <v>4383</v>
      </c>
      <c r="D1279" s="9" t="s">
        <v>4384</v>
      </c>
      <c r="E1279" s="10" t="str">
        <f>HYPERLINK("https://twitter.com/jesusmsanchez77/status/1069864445218828289","1069864445218828289")</f>
        <v>1069864445218828289</v>
      </c>
      <c r="F1279" s="12"/>
      <c r="G1279" s="12"/>
      <c r="H1279" s="12"/>
      <c r="I1279" s="13">
        <v>3</v>
      </c>
      <c r="J1279" s="13">
        <v>4</v>
      </c>
      <c r="K1279" s="14" t="str">
        <f>HYPERLINK("http://twitter.com/download/iphone","Twitter for iPhone")</f>
        <v>Twitter for iPhone</v>
      </c>
      <c r="L1279" s="13">
        <v>1245</v>
      </c>
      <c r="M1279" s="13">
        <v>1086</v>
      </c>
      <c r="N1279" s="13">
        <v>13</v>
      </c>
      <c r="O1279" s="15"/>
      <c r="P1279" s="6">
        <v>40340.926192129627</v>
      </c>
      <c r="Q1279" s="16" t="s">
        <v>167</v>
      </c>
      <c r="R1279" s="17" t="s">
        <v>4385</v>
      </c>
      <c r="S1279" s="12"/>
      <c r="T1279" s="12"/>
      <c r="U1279" s="10" t="str">
        <f>HYPERLINK("https://pbs.twimg.com/profile_images/1071103098968518656/TMeuHsCl.jpg","View")</f>
        <v>View</v>
      </c>
    </row>
    <row r="1280" spans="1:21" ht="40.799999999999997">
      <c r="A1280" s="6">
        <v>43438.376215277778</v>
      </c>
      <c r="B1280" s="7" t="str">
        <f>HYPERLINK("https://twitter.com/pasionxespana","@pasionxespana")</f>
        <v>@pasionxespana</v>
      </c>
      <c r="C1280" s="8" t="s">
        <v>4386</v>
      </c>
      <c r="D1280" s="9" t="s">
        <v>4387</v>
      </c>
      <c r="E1280" s="10" t="str">
        <f>HYPERLINK("https://twitter.com/pasionxespana/status/1069864317682622464","1069864317682622464")</f>
        <v>1069864317682622464</v>
      </c>
      <c r="F1280" s="11" t="s">
        <v>4388</v>
      </c>
      <c r="G1280" s="12"/>
      <c r="H1280" s="12"/>
      <c r="I1280" s="13">
        <v>0</v>
      </c>
      <c r="J1280" s="13">
        <v>0</v>
      </c>
      <c r="K1280" s="14" t="str">
        <f>HYPERLINK("https://ifttt.com","IFTTT")</f>
        <v>IFTTT</v>
      </c>
      <c r="L1280" s="13">
        <v>1860</v>
      </c>
      <c r="M1280" s="13">
        <v>3037</v>
      </c>
      <c r="N1280" s="13">
        <v>40</v>
      </c>
      <c r="O1280" s="15"/>
      <c r="P1280" s="6">
        <v>42607.629606481481</v>
      </c>
      <c r="Q1280" s="12"/>
      <c r="R1280" s="17" t="s">
        <v>4389</v>
      </c>
      <c r="S1280" s="11" t="s">
        <v>4390</v>
      </c>
      <c r="T1280" s="12"/>
      <c r="U1280" s="10" t="str">
        <f>HYPERLINK("https://pbs.twimg.com/profile_images/903227976258551808/C6YEfbP_.jpg","View")</f>
        <v>View</v>
      </c>
    </row>
    <row r="1281" spans="1:21" ht="20.399999999999999">
      <c r="A1281" s="6">
        <v>43438.375972222224</v>
      </c>
      <c r="B1281" s="7" t="str">
        <f>HYPERLINK("https://twitter.com/lolapastur","@lolapastur")</f>
        <v>@lolapastur</v>
      </c>
      <c r="C1281" s="8" t="s">
        <v>1213</v>
      </c>
      <c r="D1281" s="9" t="s">
        <v>3323</v>
      </c>
      <c r="E1281" s="10" t="str">
        <f>HYPERLINK("https://twitter.com/lolapastur/status/1069864231871410176","1069864231871410176")</f>
        <v>1069864231871410176</v>
      </c>
      <c r="F1281" s="11" t="s">
        <v>3324</v>
      </c>
      <c r="G1281" s="12"/>
      <c r="H1281" s="12"/>
      <c r="I1281" s="13">
        <v>0</v>
      </c>
      <c r="J1281" s="13">
        <v>0</v>
      </c>
      <c r="K1281" s="14" t="str">
        <f t="shared" ref="K1281:K1282" si="219">HYPERLINK("http://twitter.com/download/iphone","Twitter for iPhone")</f>
        <v>Twitter for iPhone</v>
      </c>
      <c r="L1281" s="13">
        <v>3784</v>
      </c>
      <c r="M1281" s="13">
        <v>2833</v>
      </c>
      <c r="N1281" s="13">
        <v>33</v>
      </c>
      <c r="O1281" s="15"/>
      <c r="P1281" s="6">
        <v>40913.599293981482</v>
      </c>
      <c r="Q1281" s="12"/>
      <c r="R1281" s="17" t="s">
        <v>1216</v>
      </c>
      <c r="S1281" s="12"/>
      <c r="T1281" s="12"/>
      <c r="U1281" s="10" t="str">
        <f>HYPERLINK("https://pbs.twimg.com/profile_images/934821295736451073/tnymHvNj.jpg","View")</f>
        <v>View</v>
      </c>
    </row>
    <row r="1282" spans="1:21" ht="51">
      <c r="A1282" s="6">
        <v>43438.373020833329</v>
      </c>
      <c r="B1282" s="7" t="str">
        <f>HYPERLINK("https://twitter.com/AlexPer28850","@AlexPer28850")</f>
        <v>@AlexPer28850</v>
      </c>
      <c r="C1282" s="8" t="s">
        <v>4391</v>
      </c>
      <c r="D1282" s="9" t="s">
        <v>4392</v>
      </c>
      <c r="E1282" s="10" t="str">
        <f>HYPERLINK("https://twitter.com/AlexPer28850/status/1069863163376603136","1069863163376603136")</f>
        <v>1069863163376603136</v>
      </c>
      <c r="F1282" s="12"/>
      <c r="G1282" s="12"/>
      <c r="H1282" s="12"/>
      <c r="I1282" s="13">
        <v>0</v>
      </c>
      <c r="J1282" s="13">
        <v>1</v>
      </c>
      <c r="K1282" s="14" t="str">
        <f t="shared" si="219"/>
        <v>Twitter for iPhone</v>
      </c>
      <c r="L1282" s="13">
        <v>1198</v>
      </c>
      <c r="M1282" s="13">
        <v>1814</v>
      </c>
      <c r="N1282" s="13">
        <v>11</v>
      </c>
      <c r="O1282" s="15"/>
      <c r="P1282" s="6">
        <v>40682.630381944444</v>
      </c>
      <c r="Q1282" s="16" t="s">
        <v>4393</v>
      </c>
      <c r="R1282" s="17" t="s">
        <v>4394</v>
      </c>
      <c r="S1282" s="11" t="s">
        <v>4395</v>
      </c>
      <c r="T1282" s="12"/>
      <c r="U1282" s="10" t="str">
        <f>HYPERLINK("https://pbs.twimg.com/profile_images/791351497460224000/UUX8oTkq.jpg","View")</f>
        <v>View</v>
      </c>
    </row>
    <row r="1283" spans="1:21" ht="40.799999999999997">
      <c r="A1283" s="6">
        <v>43438.370312500003</v>
      </c>
      <c r="B1283" s="7" t="str">
        <f>HYPERLINK("https://twitter.com/ElMundoEspana","@ElMundoEspana")</f>
        <v>@ElMundoEspana</v>
      </c>
      <c r="C1283" s="8" t="s">
        <v>360</v>
      </c>
      <c r="D1283" s="9" t="s">
        <v>4396</v>
      </c>
      <c r="E1283" s="10" t="str">
        <f>HYPERLINK("https://twitter.com/ElMundoEspana/status/1069862178130456576","1069862178130456576")</f>
        <v>1069862178130456576</v>
      </c>
      <c r="F1283" s="11" t="s">
        <v>3324</v>
      </c>
      <c r="G1283" s="12"/>
      <c r="H1283" s="12"/>
      <c r="I1283" s="13">
        <v>0</v>
      </c>
      <c r="J1283" s="13">
        <v>1</v>
      </c>
      <c r="K1283" s="14" t="str">
        <f t="shared" ref="K1283:K1285" si="220">HYPERLINK("http://twitter.com","Twitter Web Client")</f>
        <v>Twitter Web Client</v>
      </c>
      <c r="L1283" s="13">
        <v>18045</v>
      </c>
      <c r="M1283" s="13">
        <v>652</v>
      </c>
      <c r="N1283" s="13">
        <v>353</v>
      </c>
      <c r="O1283" s="19" t="s">
        <v>44</v>
      </c>
      <c r="P1283" s="6">
        <v>42089.415439814809</v>
      </c>
      <c r="Q1283" s="12"/>
      <c r="R1283" s="17" t="s">
        <v>362</v>
      </c>
      <c r="S1283" s="11" t="s">
        <v>363</v>
      </c>
      <c r="T1283" s="12"/>
      <c r="U1283" s="10" t="str">
        <f>HYPERLINK("https://pbs.twimg.com/profile_images/780431237555032064/H6v83dkC.jpg","View")</f>
        <v>View</v>
      </c>
    </row>
    <row r="1284" spans="1:21" ht="30.6">
      <c r="A1284" s="6">
        <v>43438.36854166667</v>
      </c>
      <c r="B1284" s="7" t="str">
        <f>HYPERLINK("https://twitter.com/ABJ6691","@ABJ6691")</f>
        <v>@ABJ6691</v>
      </c>
      <c r="C1284" s="8" t="s">
        <v>4045</v>
      </c>
      <c r="D1284" s="9" t="s">
        <v>4397</v>
      </c>
      <c r="E1284" s="10" t="str">
        <f>HYPERLINK("https://twitter.com/ABJ6691/status/1069861536863318016","1069861536863318016")</f>
        <v>1069861536863318016</v>
      </c>
      <c r="F1284" s="12"/>
      <c r="G1284" s="12"/>
      <c r="H1284" s="12"/>
      <c r="I1284" s="13">
        <v>0</v>
      </c>
      <c r="J1284" s="13">
        <v>1</v>
      </c>
      <c r="K1284" s="14" t="str">
        <f t="shared" si="220"/>
        <v>Twitter Web Client</v>
      </c>
      <c r="L1284" s="13">
        <v>1190</v>
      </c>
      <c r="M1284" s="13">
        <v>1037</v>
      </c>
      <c r="N1284" s="13">
        <v>13</v>
      </c>
      <c r="O1284" s="15"/>
      <c r="P1284" s="6">
        <v>41788.552662037036</v>
      </c>
      <c r="Q1284" s="12"/>
      <c r="R1284" s="17" t="s">
        <v>4047</v>
      </c>
      <c r="S1284" s="12"/>
      <c r="T1284" s="12"/>
      <c r="U1284" s="10" t="str">
        <f>HYPERLINK("https://pbs.twimg.com/profile_images/998485520349970432/4qWdVkQL.jpg","View")</f>
        <v>View</v>
      </c>
    </row>
    <row r="1285" spans="1:21" ht="30.6">
      <c r="A1285" s="6">
        <v>43438.364259259259</v>
      </c>
      <c r="B1285" s="7" t="str">
        <f>HYPERLINK("https://twitter.com/Deivitron84","@Deivitron84")</f>
        <v>@Deivitron84</v>
      </c>
      <c r="C1285" s="8" t="s">
        <v>4398</v>
      </c>
      <c r="D1285" s="9" t="s">
        <v>4399</v>
      </c>
      <c r="E1285" s="10" t="str">
        <f>HYPERLINK("https://twitter.com/Deivitron84/status/1069859984689819648","1069859984689819648")</f>
        <v>1069859984689819648</v>
      </c>
      <c r="F1285" s="12"/>
      <c r="G1285" s="12"/>
      <c r="H1285" s="12"/>
      <c r="I1285" s="13">
        <v>0</v>
      </c>
      <c r="J1285" s="13">
        <v>0</v>
      </c>
      <c r="K1285" s="14" t="str">
        <f t="shared" si="220"/>
        <v>Twitter Web Client</v>
      </c>
      <c r="L1285" s="13">
        <v>97</v>
      </c>
      <c r="M1285" s="13">
        <v>122</v>
      </c>
      <c r="N1285" s="13">
        <v>1</v>
      </c>
      <c r="O1285" s="15"/>
      <c r="P1285" s="6">
        <v>41240.365405092591</v>
      </c>
      <c r="Q1285" s="16" t="s">
        <v>4400</v>
      </c>
      <c r="R1285" s="17" t="s">
        <v>4401</v>
      </c>
      <c r="S1285" s="11" t="s">
        <v>4402</v>
      </c>
      <c r="T1285" s="12"/>
      <c r="U1285" s="10" t="str">
        <f>HYPERLINK("https://pbs.twimg.com/profile_images/931720027899908097/VJplEXSb.jpg","View")</f>
        <v>View</v>
      </c>
    </row>
    <row r="1286" spans="1:21" ht="30.6">
      <c r="A1286" s="6">
        <v>43438.362511574072</v>
      </c>
      <c r="B1286" s="7" t="str">
        <f>HYPERLINK("https://twitter.com/LadyWar","@LadyWar")</f>
        <v>@LadyWar</v>
      </c>
      <c r="C1286" s="8" t="s">
        <v>3831</v>
      </c>
      <c r="D1286" s="9" t="s">
        <v>4403</v>
      </c>
      <c r="E1286" s="10" t="str">
        <f>HYPERLINK("https://twitter.com/LadyWar/status/1069859352050315265","1069859352050315265")</f>
        <v>1069859352050315265</v>
      </c>
      <c r="F1286" s="12"/>
      <c r="G1286" s="12"/>
      <c r="H1286" s="12"/>
      <c r="I1286" s="13">
        <v>0</v>
      </c>
      <c r="J1286" s="13">
        <v>0</v>
      </c>
      <c r="K1286" s="14" t="str">
        <f t="shared" ref="K1286:K1288" si="221">HYPERLINK("http://twitter.com/download/iphone","Twitter for iPhone")</f>
        <v>Twitter for iPhone</v>
      </c>
      <c r="L1286" s="13">
        <v>1525</v>
      </c>
      <c r="M1286" s="13">
        <v>1300</v>
      </c>
      <c r="N1286" s="13">
        <v>34</v>
      </c>
      <c r="O1286" s="15"/>
      <c r="P1286" s="6">
        <v>40684.128437499996</v>
      </c>
      <c r="Q1286" s="16" t="s">
        <v>191</v>
      </c>
      <c r="R1286" s="17" t="s">
        <v>3834</v>
      </c>
      <c r="S1286" s="11" t="s">
        <v>3835</v>
      </c>
      <c r="T1286" s="12"/>
      <c r="U1286" s="10" t="str">
        <f>HYPERLINK("https://pbs.twimg.com/profile_images/1069285941163032576/bs3lrV07.jpg","View")</f>
        <v>View</v>
      </c>
    </row>
    <row r="1287" spans="1:21" ht="20.399999999999999">
      <c r="A1287" s="6">
        <v>43438.358900462961</v>
      </c>
      <c r="B1287" s="7" t="str">
        <f>HYPERLINK("https://twitter.com/TeresaGS26","@TeresaGS26")</f>
        <v>@TeresaGS26</v>
      </c>
      <c r="C1287" s="8" t="s">
        <v>1228</v>
      </c>
      <c r="D1287" s="9" t="s">
        <v>4404</v>
      </c>
      <c r="E1287" s="10" t="str">
        <f>HYPERLINK("https://twitter.com/TeresaGS26/status/1069858044278964224","1069858044278964224")</f>
        <v>1069858044278964224</v>
      </c>
      <c r="F1287" s="11" t="s">
        <v>3324</v>
      </c>
      <c r="G1287" s="12"/>
      <c r="H1287" s="12"/>
      <c r="I1287" s="13">
        <v>0</v>
      </c>
      <c r="J1287" s="13">
        <v>0</v>
      </c>
      <c r="K1287" s="14" t="str">
        <f t="shared" si="221"/>
        <v>Twitter for iPhone</v>
      </c>
      <c r="L1287" s="13">
        <v>843</v>
      </c>
      <c r="M1287" s="13">
        <v>1019</v>
      </c>
      <c r="N1287" s="13">
        <v>18</v>
      </c>
      <c r="O1287" s="15"/>
      <c r="P1287" s="6">
        <v>42241.614548611113</v>
      </c>
      <c r="Q1287" s="12"/>
      <c r="R1287" s="17" t="s">
        <v>1230</v>
      </c>
      <c r="S1287" s="12"/>
      <c r="T1287" s="12"/>
      <c r="U1287" s="10" t="str">
        <f>HYPERLINK("https://pbs.twimg.com/profile_images/636159808249446400/2J9thX4B.jpg","View")</f>
        <v>View</v>
      </c>
    </row>
    <row r="1288" spans="1:21" ht="30.6">
      <c r="A1288" s="6">
        <v>43438.350185185191</v>
      </c>
      <c r="B1288" s="7" t="str">
        <f>HYPERLINK("https://twitter.com/__f__m__b__","@__f__m__b__")</f>
        <v>@__f__m__b__</v>
      </c>
      <c r="C1288" s="8" t="s">
        <v>3711</v>
      </c>
      <c r="D1288" s="9" t="s">
        <v>4405</v>
      </c>
      <c r="E1288" s="10" t="str">
        <f>HYPERLINK("https://twitter.com/__f__m__b__/status/1069854887519887360","1069854887519887360")</f>
        <v>1069854887519887360</v>
      </c>
      <c r="F1288" s="12"/>
      <c r="G1288" s="12"/>
      <c r="H1288" s="12"/>
      <c r="I1288" s="13">
        <v>0</v>
      </c>
      <c r="J1288" s="13">
        <v>1</v>
      </c>
      <c r="K1288" s="14" t="str">
        <f t="shared" si="221"/>
        <v>Twitter for iPhone</v>
      </c>
      <c r="L1288" s="13">
        <v>1215</v>
      </c>
      <c r="M1288" s="13">
        <v>1030</v>
      </c>
      <c r="N1288" s="13">
        <v>11</v>
      </c>
      <c r="O1288" s="15"/>
      <c r="P1288" s="6">
        <v>41940.792349537034</v>
      </c>
      <c r="Q1288" s="12"/>
      <c r="R1288" s="17" t="s">
        <v>3713</v>
      </c>
      <c r="S1288" s="12"/>
      <c r="T1288" s="12"/>
      <c r="U1288" s="10" t="str">
        <f>HYPERLINK("https://pbs.twimg.com/profile_images/864457198193082372/tfz2di_v.jpg","View")</f>
        <v>View</v>
      </c>
    </row>
    <row r="1289" spans="1:21" ht="30.6">
      <c r="A1289" s="6">
        <v>43438.349143518513</v>
      </c>
      <c r="B1289" s="7" t="str">
        <f>HYPERLINK("https://twitter.com/AndresF45058650","@AndresF45058650")</f>
        <v>@AndresF45058650</v>
      </c>
      <c r="C1289" s="8" t="s">
        <v>4406</v>
      </c>
      <c r="D1289" s="9" t="s">
        <v>4407</v>
      </c>
      <c r="E1289" s="10" t="str">
        <f>HYPERLINK("https://twitter.com/AndresF45058650/status/1069854507801169922","1069854507801169922")</f>
        <v>1069854507801169922</v>
      </c>
      <c r="F1289" s="11" t="s">
        <v>4408</v>
      </c>
      <c r="G1289" s="12"/>
      <c r="H1289" s="12"/>
      <c r="I1289" s="13">
        <v>0</v>
      </c>
      <c r="J1289" s="13">
        <v>0</v>
      </c>
      <c r="K1289" s="14" t="str">
        <f>HYPERLINK("http://twitter.com/download/android","Twitter for Android")</f>
        <v>Twitter for Android</v>
      </c>
      <c r="L1289" s="13">
        <v>52</v>
      </c>
      <c r="M1289" s="13">
        <v>152</v>
      </c>
      <c r="N1289" s="13">
        <v>0</v>
      </c>
      <c r="O1289" s="15"/>
      <c r="P1289" s="6">
        <v>43348.768680555557</v>
      </c>
      <c r="Q1289" s="12"/>
      <c r="R1289" s="20"/>
      <c r="S1289" s="12"/>
      <c r="T1289" s="12"/>
      <c r="U1289" s="10" t="str">
        <f>HYPERLINK("https://pbs.twimg.com/profile_images/1064090016882876416/V_wn_0bX.jpg","View")</f>
        <v>View</v>
      </c>
    </row>
    <row r="1290" spans="1:21" ht="40.799999999999997">
      <c r="A1290" s="6">
        <v>43438.34510416667</v>
      </c>
      <c r="B1290" s="7" t="str">
        <f>HYPERLINK("https://twitter.com/marianofake","@marianofake")</f>
        <v>@marianofake</v>
      </c>
      <c r="C1290" s="8" t="s">
        <v>1715</v>
      </c>
      <c r="D1290" s="9" t="s">
        <v>4409</v>
      </c>
      <c r="E1290" s="10" t="str">
        <f>HYPERLINK("https://twitter.com/marianofake/status/1069853043695513600","1069853043695513600")</f>
        <v>1069853043695513600</v>
      </c>
      <c r="F1290" s="12"/>
      <c r="G1290" s="12"/>
      <c r="H1290" s="12"/>
      <c r="I1290" s="13">
        <v>9</v>
      </c>
      <c r="J1290" s="13">
        <v>19</v>
      </c>
      <c r="K1290" s="14" t="str">
        <f>HYPERLINK("http://twitter.com","Twitter Web Client")</f>
        <v>Twitter Web Client</v>
      </c>
      <c r="L1290" s="13">
        <v>6144</v>
      </c>
      <c r="M1290" s="13">
        <v>3153</v>
      </c>
      <c r="N1290" s="13">
        <v>19</v>
      </c>
      <c r="O1290" s="15"/>
      <c r="P1290" s="6">
        <v>42101.675752314812</v>
      </c>
      <c r="Q1290" s="12"/>
      <c r="R1290" s="17" t="s">
        <v>1721</v>
      </c>
      <c r="S1290" s="12"/>
      <c r="T1290" s="12"/>
      <c r="U1290" s="10" t="str">
        <f>HYPERLINK("https://pbs.twimg.com/profile_images/865123852795367424/p4pK2M21.jpg","View")</f>
        <v>View</v>
      </c>
    </row>
    <row r="1291" spans="1:21" ht="30.6">
      <c r="A1291" s="6">
        <v>43438.343784722223</v>
      </c>
      <c r="B1291" s="7" t="str">
        <f>HYPERLINK("https://twitter.com/madridesnoticia","@madridesnoticia")</f>
        <v>@madridesnoticia</v>
      </c>
      <c r="C1291" s="8" t="s">
        <v>1248</v>
      </c>
      <c r="D1291" s="9" t="s">
        <v>4411</v>
      </c>
      <c r="E1291" s="10" t="str">
        <f>HYPERLINK("https://twitter.com/madridesnoticia/status/1069852568141078529","1069852568141078529")</f>
        <v>1069852568141078529</v>
      </c>
      <c r="F1291" s="11" t="s">
        <v>4412</v>
      </c>
      <c r="G1291" s="12"/>
      <c r="H1291" s="12"/>
      <c r="I1291" s="13">
        <v>0</v>
      </c>
      <c r="J1291" s="13">
        <v>0</v>
      </c>
      <c r="K1291" s="14" t="str">
        <f>HYPERLINK("https://www.hootsuite.com","Hootsuite Inc.")</f>
        <v>Hootsuite Inc.</v>
      </c>
      <c r="L1291" s="13">
        <v>6924</v>
      </c>
      <c r="M1291" s="13">
        <v>4931</v>
      </c>
      <c r="N1291" s="13">
        <v>131</v>
      </c>
      <c r="O1291" s="15"/>
      <c r="P1291" s="6">
        <v>41932.735115740739</v>
      </c>
      <c r="Q1291" s="16" t="s">
        <v>191</v>
      </c>
      <c r="R1291" s="17" t="s">
        <v>1251</v>
      </c>
      <c r="S1291" s="11" t="s">
        <v>1252</v>
      </c>
      <c r="T1291" s="12"/>
      <c r="U1291" s="10" t="str">
        <f>HYPERLINK("https://pbs.twimg.com/profile_images/991426539601498112/Y4q21om7.jpg","View")</f>
        <v>View</v>
      </c>
    </row>
    <row r="1292" spans="1:21" ht="30.6">
      <c r="A1292" s="6">
        <v>43438.338483796295</v>
      </c>
      <c r="B1292" s="7" t="str">
        <f>HYPERLINK("https://twitter.com/hispaopera","@hispaopera")</f>
        <v>@hispaopera</v>
      </c>
      <c r="C1292" s="8" t="s">
        <v>4413</v>
      </c>
      <c r="D1292" s="9" t="s">
        <v>4414</v>
      </c>
      <c r="E1292" s="10" t="str">
        <f>HYPERLINK("https://twitter.com/hispaopera/status/1069850645937709057","1069850645937709057")</f>
        <v>1069850645937709057</v>
      </c>
      <c r="F1292" s="16" t="s">
        <v>4416</v>
      </c>
      <c r="G1292" s="12"/>
      <c r="H1292" s="12"/>
      <c r="I1292" s="13">
        <v>0</v>
      </c>
      <c r="J1292" s="13">
        <v>1</v>
      </c>
      <c r="K1292" s="14" t="str">
        <f>HYPERLINK("http://www.facebook.com/twitter","Facebook")</f>
        <v>Facebook</v>
      </c>
      <c r="L1292" s="13">
        <v>4469</v>
      </c>
      <c r="M1292" s="13">
        <v>2981</v>
      </c>
      <c r="N1292" s="13">
        <v>99</v>
      </c>
      <c r="O1292" s="15"/>
      <c r="P1292" s="6">
        <v>40102.384398148148</v>
      </c>
      <c r="Q1292" s="16" t="s">
        <v>2109</v>
      </c>
      <c r="R1292" s="17" t="s">
        <v>4417</v>
      </c>
      <c r="S1292" s="11" t="s">
        <v>4418</v>
      </c>
      <c r="T1292" s="12"/>
      <c r="U1292" s="10" t="str">
        <f>HYPERLINK("https://pbs.twimg.com/profile_images/1960777746/facebook_avatar.jpg","View")</f>
        <v>View</v>
      </c>
    </row>
    <row r="1293" spans="1:21" ht="20.399999999999999">
      <c r="A1293" s="6">
        <v>43438.331087962964</v>
      </c>
      <c r="B1293" s="7" t="str">
        <f>HYPERLINK("https://twitter.com/mundiario","@mundiario")</f>
        <v>@mundiario</v>
      </c>
      <c r="C1293" s="21" t="s">
        <v>4419</v>
      </c>
      <c r="D1293" s="9" t="s">
        <v>4420</v>
      </c>
      <c r="E1293" s="10" t="str">
        <f>HYPERLINK("https://twitter.com/mundiario/status/1069847966951849984","1069847966951849984")</f>
        <v>1069847966951849984</v>
      </c>
      <c r="F1293" s="11" t="s">
        <v>3566</v>
      </c>
      <c r="G1293" s="12"/>
      <c r="H1293" s="12"/>
      <c r="I1293" s="13">
        <v>0</v>
      </c>
      <c r="J1293" s="13">
        <v>0</v>
      </c>
      <c r="K1293" s="14" t="str">
        <f>HYPERLINK("https://www.hootsuite.com","Hootsuite Inc.")</f>
        <v>Hootsuite Inc.</v>
      </c>
      <c r="L1293" s="13">
        <v>4066</v>
      </c>
      <c r="M1293" s="13">
        <v>1739</v>
      </c>
      <c r="N1293" s="13">
        <v>343</v>
      </c>
      <c r="O1293" s="15"/>
      <c r="P1293" s="6">
        <v>41173.883761574078</v>
      </c>
      <c r="Q1293" s="16" t="s">
        <v>4421</v>
      </c>
      <c r="R1293" s="17" t="s">
        <v>4422</v>
      </c>
      <c r="S1293" s="11" t="s">
        <v>4423</v>
      </c>
      <c r="T1293" s="12"/>
      <c r="U1293" s="10" t="str">
        <f>HYPERLINK("https://pbs.twimg.com/profile_images/3094796766/730b364efa8d24668e7af3d6c7422a06.jpeg","View")</f>
        <v>View</v>
      </c>
    </row>
    <row r="1294" spans="1:21" ht="20.399999999999999">
      <c r="A1294" s="6">
        <v>43438.329652777778</v>
      </c>
      <c r="B1294" s="7" t="str">
        <f>HYPERLINK("https://twitter.com/Clau_Casanova","@Clau_Casanova")</f>
        <v>@Clau_Casanova</v>
      </c>
      <c r="C1294" s="8" t="s">
        <v>4424</v>
      </c>
      <c r="D1294" s="9" t="s">
        <v>4425</v>
      </c>
      <c r="E1294" s="10" t="str">
        <f>HYPERLINK("https://twitter.com/Clau_Casanova/status/1069847447088848896","1069847447088848896")</f>
        <v>1069847447088848896</v>
      </c>
      <c r="F1294" s="12"/>
      <c r="G1294" s="12"/>
      <c r="H1294" s="12"/>
      <c r="I1294" s="13">
        <v>0</v>
      </c>
      <c r="J1294" s="13">
        <v>5</v>
      </c>
      <c r="K1294" s="14" t="str">
        <f>HYPERLINK("http://twitter.com/download/iphone","Twitter for iPhone")</f>
        <v>Twitter for iPhone</v>
      </c>
      <c r="L1294" s="13">
        <v>517</v>
      </c>
      <c r="M1294" s="13">
        <v>335</v>
      </c>
      <c r="N1294" s="13">
        <v>6</v>
      </c>
      <c r="O1294" s="15"/>
      <c r="P1294" s="6">
        <v>41473.032453703701</v>
      </c>
      <c r="Q1294" s="16" t="s">
        <v>30</v>
      </c>
      <c r="R1294" s="17" t="s">
        <v>4426</v>
      </c>
      <c r="S1294" s="12"/>
      <c r="T1294" s="12"/>
      <c r="U1294" s="10" t="str">
        <f>HYPERLINK("https://pbs.twimg.com/profile_images/1065351672925511680/Kv42FWXZ.jpg","View")</f>
        <v>View</v>
      </c>
    </row>
    <row r="1295" spans="1:21" ht="30.6">
      <c r="A1295" s="6">
        <v>43438.327025462961</v>
      </c>
      <c r="B1295" s="7" t="str">
        <f>HYPERLINK("https://twitter.com/natipcu","@natipcu")</f>
        <v>@natipcu</v>
      </c>
      <c r="C1295" s="8" t="s">
        <v>513</v>
      </c>
      <c r="D1295" s="9" t="s">
        <v>4427</v>
      </c>
      <c r="E1295" s="10" t="str">
        <f>HYPERLINK("https://twitter.com/natipcu/status/1069846495191597056","1069846495191597056")</f>
        <v>1069846495191597056</v>
      </c>
      <c r="F1295" s="11" t="s">
        <v>4428</v>
      </c>
      <c r="G1295" s="12"/>
      <c r="H1295" s="12"/>
      <c r="I1295" s="13">
        <v>0</v>
      </c>
      <c r="J1295" s="13">
        <v>0</v>
      </c>
      <c r="K1295" s="14" t="str">
        <f>HYPERLINK("http://www.facebook.com/twitter","Facebook")</f>
        <v>Facebook</v>
      </c>
      <c r="L1295" s="13">
        <v>373</v>
      </c>
      <c r="M1295" s="13">
        <v>959</v>
      </c>
      <c r="N1295" s="13">
        <v>6</v>
      </c>
      <c r="O1295" s="15"/>
      <c r="P1295" s="6">
        <v>41011.381006944444</v>
      </c>
      <c r="Q1295" s="16" t="s">
        <v>514</v>
      </c>
      <c r="R1295" s="17" t="s">
        <v>515</v>
      </c>
      <c r="S1295" s="12"/>
      <c r="T1295" s="12"/>
      <c r="U1295" s="10" t="str">
        <f>HYPERLINK("https://pbs.twimg.com/profile_images/1040653426294759431/Hzpw4gD_.jpg","View")</f>
        <v>View</v>
      </c>
    </row>
    <row r="1296" spans="1:21" ht="30.6">
      <c r="A1296" s="6">
        <v>43438.324143518519</v>
      </c>
      <c r="B1296" s="7" t="str">
        <f>HYPERLINK("https://twitter.com/vgarale","@vgarale")</f>
        <v>@vgarale</v>
      </c>
      <c r="C1296" s="8" t="s">
        <v>4429</v>
      </c>
      <c r="D1296" s="9" t="s">
        <v>4430</v>
      </c>
      <c r="E1296" s="10" t="str">
        <f>HYPERLINK("https://twitter.com/vgarale/status/1069845448955969537","1069845448955969537")</f>
        <v>1069845448955969537</v>
      </c>
      <c r="F1296" s="12"/>
      <c r="G1296" s="12"/>
      <c r="H1296" s="12"/>
      <c r="I1296" s="13">
        <v>0</v>
      </c>
      <c r="J1296" s="13">
        <v>0</v>
      </c>
      <c r="K1296" s="14" t="str">
        <f t="shared" ref="K1296:K1297" si="222">HYPERLINK("http://twitter.com/download/android","Twitter for Android")</f>
        <v>Twitter for Android</v>
      </c>
      <c r="L1296" s="13">
        <v>1199</v>
      </c>
      <c r="M1296" s="13">
        <v>1222</v>
      </c>
      <c r="N1296" s="13">
        <v>22</v>
      </c>
      <c r="O1296" s="15"/>
      <c r="P1296" s="6">
        <v>40359.832488425927</v>
      </c>
      <c r="Q1296" s="16" t="s">
        <v>611</v>
      </c>
      <c r="R1296" s="17" t="s">
        <v>4433</v>
      </c>
      <c r="S1296" s="12"/>
      <c r="T1296" s="12"/>
      <c r="U1296" s="10" t="str">
        <f>HYPERLINK("https://pbs.twimg.com/profile_images/1047062113674584064/slwVb9wM.jpg","View")</f>
        <v>View</v>
      </c>
    </row>
    <row r="1297" spans="1:21" ht="51">
      <c r="A1297" s="6">
        <v>43438.321469907409</v>
      </c>
      <c r="B1297" s="7" t="str">
        <f>HYPERLINK("https://twitter.com/CastroUrdiales6","@CastroUrdiales6")</f>
        <v>@CastroUrdiales6</v>
      </c>
      <c r="C1297" s="8" t="s">
        <v>4434</v>
      </c>
      <c r="D1297" s="9" t="s">
        <v>4435</v>
      </c>
      <c r="E1297" s="10" t="str">
        <f>HYPERLINK("https://twitter.com/CastroUrdiales6/status/1069844481686556678","1069844481686556678")</f>
        <v>1069844481686556678</v>
      </c>
      <c r="F1297" s="12"/>
      <c r="G1297" s="12"/>
      <c r="H1297" s="12"/>
      <c r="I1297" s="13">
        <v>7</v>
      </c>
      <c r="J1297" s="13">
        <v>11</v>
      </c>
      <c r="K1297" s="14" t="str">
        <f t="shared" si="222"/>
        <v>Twitter for Android</v>
      </c>
      <c r="L1297" s="13">
        <v>6214</v>
      </c>
      <c r="M1297" s="13">
        <v>6839</v>
      </c>
      <c r="N1297" s="13">
        <v>13</v>
      </c>
      <c r="O1297" s="15"/>
      <c r="P1297" s="6">
        <v>43044.787152777775</v>
      </c>
      <c r="Q1297" s="16" t="s">
        <v>4436</v>
      </c>
      <c r="R1297" s="17" t="s">
        <v>4437</v>
      </c>
      <c r="S1297" s="12"/>
      <c r="T1297" s="12"/>
      <c r="U1297" s="10" t="str">
        <f>HYPERLINK("https://pbs.twimg.com/profile_images/999197091124559872/m9DZaa8W.jpg","View")</f>
        <v>View</v>
      </c>
    </row>
    <row r="1298" spans="1:21" ht="40.799999999999997">
      <c r="A1298" s="6">
        <v>43438.318726851852</v>
      </c>
      <c r="B1298" s="7" t="str">
        <f>HYPERLINK("https://twitter.com/maxalvareztever","@maxalvareztever")</f>
        <v>@maxalvareztever</v>
      </c>
      <c r="C1298" s="8" t="s">
        <v>4438</v>
      </c>
      <c r="D1298" s="9" t="s">
        <v>4439</v>
      </c>
      <c r="E1298" s="10" t="str">
        <f>HYPERLINK("https://twitter.com/maxalvareztever/status/1069843485556117506","1069843485556117506")</f>
        <v>1069843485556117506</v>
      </c>
      <c r="F1298" s="11" t="s">
        <v>4440</v>
      </c>
      <c r="G1298" s="12"/>
      <c r="H1298" s="12"/>
      <c r="I1298" s="13">
        <v>0</v>
      </c>
      <c r="J1298" s="13">
        <v>0</v>
      </c>
      <c r="K1298" s="14" t="str">
        <f t="shared" ref="K1298:K1299" si="223">HYPERLINK("http://www.facebook.com/twitter","Facebook")</f>
        <v>Facebook</v>
      </c>
      <c r="L1298" s="13">
        <v>947</v>
      </c>
      <c r="M1298" s="13">
        <v>1953</v>
      </c>
      <c r="N1298" s="13">
        <v>15</v>
      </c>
      <c r="O1298" s="15"/>
      <c r="P1298" s="6">
        <v>40562.875914351855</v>
      </c>
      <c r="Q1298" s="16" t="s">
        <v>4441</v>
      </c>
      <c r="R1298" s="17" t="s">
        <v>4442</v>
      </c>
      <c r="S1298" s="12"/>
      <c r="T1298" s="12"/>
      <c r="U1298" s="10" t="str">
        <f>HYPERLINK("https://pbs.twimg.com/profile_images/1713837472/DSC_0178-2.jpg","View")</f>
        <v>View</v>
      </c>
    </row>
    <row r="1299" spans="1:21" ht="30.6">
      <c r="A1299" s="6">
        <v>43438.308657407411</v>
      </c>
      <c r="B1299" s="7" t="str">
        <f>HYPERLINK("https://twitter.com/ricardokuenki","@ricardokuenki")</f>
        <v>@ricardokuenki</v>
      </c>
      <c r="C1299" s="8" t="s">
        <v>4443</v>
      </c>
      <c r="D1299" s="9" t="s">
        <v>4444</v>
      </c>
      <c r="E1299" s="10" t="str">
        <f>HYPERLINK("https://twitter.com/ricardokuenki/status/1069839835735748608","1069839835735748608")</f>
        <v>1069839835735748608</v>
      </c>
      <c r="F1299" s="11" t="s">
        <v>3698</v>
      </c>
      <c r="G1299" s="12"/>
      <c r="H1299" s="12"/>
      <c r="I1299" s="13">
        <v>0</v>
      </c>
      <c r="J1299" s="13">
        <v>0</v>
      </c>
      <c r="K1299" s="14" t="str">
        <f t="shared" si="223"/>
        <v>Facebook</v>
      </c>
      <c r="L1299" s="13">
        <v>1853</v>
      </c>
      <c r="M1299" s="13">
        <v>484</v>
      </c>
      <c r="N1299" s="13">
        <v>18</v>
      </c>
      <c r="O1299" s="15"/>
      <c r="P1299" s="6">
        <v>40901.383333333331</v>
      </c>
      <c r="Q1299" s="12"/>
      <c r="R1299" s="17" t="s">
        <v>4445</v>
      </c>
      <c r="S1299" s="12"/>
      <c r="T1299" s="12"/>
      <c r="U1299" s="10" t="str">
        <f>HYPERLINK("https://pbs.twimg.com/profile_images/919373372945035264/2WB569GJ.jpg","View")</f>
        <v>View</v>
      </c>
    </row>
    <row r="1300" spans="1:21" ht="40.799999999999997">
      <c r="A1300" s="6">
        <v>43438.306539351848</v>
      </c>
      <c r="B1300" s="7" t="str">
        <f>HYPERLINK("https://twitter.com/XoanXoann","@XoanXoann")</f>
        <v>@XoanXoann</v>
      </c>
      <c r="C1300" s="8" t="s">
        <v>4446</v>
      </c>
      <c r="D1300" s="9" t="s">
        <v>4447</v>
      </c>
      <c r="E1300" s="10" t="str">
        <f>HYPERLINK("https://twitter.com/XoanXoann/status/1069839070061387776","1069839070061387776")</f>
        <v>1069839070061387776</v>
      </c>
      <c r="F1300" s="11" t="s">
        <v>4448</v>
      </c>
      <c r="G1300" s="12"/>
      <c r="H1300" s="12"/>
      <c r="I1300" s="13">
        <v>19</v>
      </c>
      <c r="J1300" s="13">
        <v>15</v>
      </c>
      <c r="K1300" s="14" t="str">
        <f t="shared" ref="K1300:K1302" si="224">HYPERLINK("http://twitter.com/download/android","Twitter for Android")</f>
        <v>Twitter for Android</v>
      </c>
      <c r="L1300" s="13">
        <v>2004</v>
      </c>
      <c r="M1300" s="13">
        <v>4985</v>
      </c>
      <c r="N1300" s="13">
        <v>3</v>
      </c>
      <c r="O1300" s="15"/>
      <c r="P1300" s="6">
        <v>42796.441053240742</v>
      </c>
      <c r="Q1300" s="12"/>
      <c r="R1300" s="17" t="s">
        <v>4449</v>
      </c>
      <c r="S1300" s="12"/>
      <c r="T1300" s="12"/>
      <c r="U1300" s="10" t="str">
        <f>HYPERLINK("https://pbs.twimg.com/profile_images/1066020767215820805/FqHUq32V.jpg","View")</f>
        <v>View</v>
      </c>
    </row>
    <row r="1301" spans="1:21" ht="20.399999999999999">
      <c r="A1301" s="6">
        <v>43438.303888888884</v>
      </c>
      <c r="B1301" s="7" t="str">
        <f>HYPERLINK("https://twitter.com/cavernacubica","@cavernacubica")</f>
        <v>@cavernacubica</v>
      </c>
      <c r="C1301" s="8" t="s">
        <v>4450</v>
      </c>
      <c r="D1301" s="9" t="s">
        <v>4451</v>
      </c>
      <c r="E1301" s="10" t="str">
        <f>HYPERLINK("https://twitter.com/cavernacubica/status/1069838109355991040","1069838109355991040")</f>
        <v>1069838109355991040</v>
      </c>
      <c r="F1301" s="12"/>
      <c r="G1301" s="12"/>
      <c r="H1301" s="12"/>
      <c r="I1301" s="13">
        <v>0</v>
      </c>
      <c r="J1301" s="13">
        <v>0</v>
      </c>
      <c r="K1301" s="14" t="str">
        <f t="shared" si="224"/>
        <v>Twitter for Android</v>
      </c>
      <c r="L1301" s="13">
        <v>2279</v>
      </c>
      <c r="M1301" s="13">
        <v>3887</v>
      </c>
      <c r="N1301" s="13">
        <v>77</v>
      </c>
      <c r="O1301" s="15"/>
      <c r="P1301" s="6">
        <v>40572.789050925923</v>
      </c>
      <c r="Q1301" s="16" t="s">
        <v>328</v>
      </c>
      <c r="R1301" s="17" t="s">
        <v>4452</v>
      </c>
      <c r="S1301" s="11" t="s">
        <v>4453</v>
      </c>
      <c r="T1301" s="12"/>
      <c r="U1301" s="10" t="str">
        <f>HYPERLINK("https://pbs.twimg.com/profile_images/839367232677425152/9krS0CkF.jpg","View")</f>
        <v>View</v>
      </c>
    </row>
    <row r="1302" spans="1:21" ht="40.799999999999997">
      <c r="A1302" s="6">
        <v>43438.301145833335</v>
      </c>
      <c r="B1302" s="7" t="str">
        <f>HYPERLINK("https://twitter.com/CarmePorta","@CarmePorta")</f>
        <v>@CarmePorta</v>
      </c>
      <c r="C1302" s="8" t="s">
        <v>4454</v>
      </c>
      <c r="D1302" s="9" t="s">
        <v>4455</v>
      </c>
      <c r="E1302" s="10" t="str">
        <f>HYPERLINK("https://twitter.com/CarmePorta/status/1069837116736188416","1069837116736188416")</f>
        <v>1069837116736188416</v>
      </c>
      <c r="F1302" s="12"/>
      <c r="G1302" s="12"/>
      <c r="H1302" s="12"/>
      <c r="I1302" s="13">
        <v>0</v>
      </c>
      <c r="J1302" s="13">
        <v>3</v>
      </c>
      <c r="K1302" s="14" t="str">
        <f t="shared" si="224"/>
        <v>Twitter for Android</v>
      </c>
      <c r="L1302" s="13">
        <v>2777</v>
      </c>
      <c r="M1302" s="13">
        <v>3013</v>
      </c>
      <c r="N1302" s="13">
        <v>79</v>
      </c>
      <c r="O1302" s="15"/>
      <c r="P1302" s="6">
        <v>40656.897511574076</v>
      </c>
      <c r="Q1302" s="12"/>
      <c r="R1302" s="17" t="s">
        <v>4456</v>
      </c>
      <c r="S1302" s="11" t="s">
        <v>4457</v>
      </c>
      <c r="T1302" s="12"/>
      <c r="U1302" s="10" t="str">
        <f>HYPERLINK("https://pbs.twimg.com/profile_images/1041824188955328512/kV7DBiqX.jpg","View")</f>
        <v>View</v>
      </c>
    </row>
    <row r="1303" spans="1:21" ht="51">
      <c r="A1303" s="6">
        <v>43438.299305555556</v>
      </c>
      <c r="B1303" s="7" t="str">
        <f>HYPERLINK("https://twitter.com/TheObjective_es","@TheObjective_es")</f>
        <v>@TheObjective_es</v>
      </c>
      <c r="C1303" s="8" t="s">
        <v>83</v>
      </c>
      <c r="D1303" s="9" t="s">
        <v>4458</v>
      </c>
      <c r="E1303" s="10" t="str">
        <f>HYPERLINK("https://twitter.com/TheObjective_es/status/1069836447144968193","1069836447144968193")</f>
        <v>1069836447144968193</v>
      </c>
      <c r="F1303" s="11" t="s">
        <v>4459</v>
      </c>
      <c r="G1303" s="12"/>
      <c r="H1303" s="12"/>
      <c r="I1303" s="13">
        <v>1</v>
      </c>
      <c r="J1303" s="13">
        <v>0</v>
      </c>
      <c r="K1303" s="14" t="str">
        <f>HYPERLINK("https://buffer.com","Buffer")</f>
        <v>Buffer</v>
      </c>
      <c r="L1303" s="13">
        <v>50878</v>
      </c>
      <c r="M1303" s="13">
        <v>704</v>
      </c>
      <c r="N1303" s="13">
        <v>1225</v>
      </c>
      <c r="O1303" s="15"/>
      <c r="P1303" s="6">
        <v>41473.393935185188</v>
      </c>
      <c r="Q1303" s="16" t="s">
        <v>86</v>
      </c>
      <c r="R1303" s="17" t="s">
        <v>87</v>
      </c>
      <c r="S1303" s="11" t="s">
        <v>88</v>
      </c>
      <c r="T1303" s="12"/>
      <c r="U1303" s="10" t="str">
        <f>HYPERLINK("https://pbs.twimg.com/profile_images/996760534082117632/umqvtWL2.jpg","View")</f>
        <v>View</v>
      </c>
    </row>
    <row r="1304" spans="1:21" ht="20.399999999999999">
      <c r="A1304" s="6">
        <v>43438.241770833338</v>
      </c>
      <c r="B1304" s="7" t="str">
        <f>HYPERLINK("https://twitter.com/Ferts54","@Ferts54")</f>
        <v>@Ferts54</v>
      </c>
      <c r="C1304" s="8" t="s">
        <v>4460</v>
      </c>
      <c r="D1304" s="9" t="s">
        <v>4461</v>
      </c>
      <c r="E1304" s="10" t="str">
        <f>HYPERLINK("https://twitter.com/Ferts54/status/1069815596207013889","1069815596207013889")</f>
        <v>1069815596207013889</v>
      </c>
      <c r="F1304" s="11" t="s">
        <v>4462</v>
      </c>
      <c r="G1304" s="12"/>
      <c r="H1304" s="12"/>
      <c r="I1304" s="13">
        <v>0</v>
      </c>
      <c r="J1304" s="13">
        <v>0</v>
      </c>
      <c r="K1304" s="14" t="str">
        <f>HYPERLINK("https://www.google.com/","Google")</f>
        <v>Google</v>
      </c>
      <c r="L1304" s="13">
        <v>376</v>
      </c>
      <c r="M1304" s="13">
        <v>2601</v>
      </c>
      <c r="N1304" s="13">
        <v>39</v>
      </c>
      <c r="O1304" s="15"/>
      <c r="P1304" s="6">
        <v>41601.305</v>
      </c>
      <c r="Q1304" s="16" t="s">
        <v>4463</v>
      </c>
      <c r="R1304" s="17" t="s">
        <v>4464</v>
      </c>
      <c r="S1304" s="11" t="s">
        <v>4465</v>
      </c>
      <c r="T1304" s="12"/>
      <c r="U1304" s="10" t="str">
        <f>HYPERLINK("https://pbs.twimg.com/profile_images/870168747956240389/mgG-4gqN.jpg","View")</f>
        <v>View</v>
      </c>
    </row>
    <row r="1305" spans="1:21" ht="30.6">
      <c r="A1305" s="6">
        <v>43438.236145833333</v>
      </c>
      <c r="B1305" s="7" t="str">
        <f>HYPERLINK("https://twitter.com/Cambio16","@Cambio16")</f>
        <v>@Cambio16</v>
      </c>
      <c r="C1305" s="8" t="s">
        <v>4466</v>
      </c>
      <c r="D1305" s="9" t="s">
        <v>4467</v>
      </c>
      <c r="E1305" s="10" t="str">
        <f>HYPERLINK("https://twitter.com/Cambio16/status/1069813559478104064","1069813559478104064")</f>
        <v>1069813559478104064</v>
      </c>
      <c r="F1305" s="11" t="s">
        <v>4468</v>
      </c>
      <c r="G1305" s="11" t="s">
        <v>4469</v>
      </c>
      <c r="H1305" s="12"/>
      <c r="I1305" s="13">
        <v>0</v>
      </c>
      <c r="J1305" s="13">
        <v>0</v>
      </c>
      <c r="K1305" s="14" t="str">
        <f>HYPERLINK("https://www.hootsuite.com","Hootsuite Inc.")</f>
        <v>Hootsuite Inc.</v>
      </c>
      <c r="L1305" s="13">
        <v>17336</v>
      </c>
      <c r="M1305" s="13">
        <v>1007</v>
      </c>
      <c r="N1305" s="13">
        <v>502</v>
      </c>
      <c r="O1305" s="15"/>
      <c r="P1305" s="6">
        <v>40341.492245370369</v>
      </c>
      <c r="Q1305" s="16" t="s">
        <v>232</v>
      </c>
      <c r="R1305" s="17" t="s">
        <v>4470</v>
      </c>
      <c r="S1305" s="11" t="s">
        <v>4471</v>
      </c>
      <c r="T1305" s="12"/>
      <c r="U1305" s="10" t="str">
        <f>HYPERLINK("https://pbs.twimg.com/profile_images/1060221846208069632/vJfJ3_T5.jpg","View")</f>
        <v>View</v>
      </c>
    </row>
    <row r="1306" spans="1:21" ht="40.799999999999997">
      <c r="A1306" s="6">
        <v>43438.119108796294</v>
      </c>
      <c r="B1306" s="7" t="str">
        <f>HYPERLINK("https://twitter.com/adsuara","@adsuara")</f>
        <v>@adsuara</v>
      </c>
      <c r="C1306" s="8" t="s">
        <v>4472</v>
      </c>
      <c r="D1306" s="9" t="s">
        <v>4473</v>
      </c>
      <c r="E1306" s="10" t="str">
        <f>HYPERLINK("https://twitter.com/adsuara/status/1069771146881654784","1069771146881654784")</f>
        <v>1069771146881654784</v>
      </c>
      <c r="F1306" s="11" t="s">
        <v>4474</v>
      </c>
      <c r="G1306" s="12"/>
      <c r="H1306" s="12"/>
      <c r="I1306" s="13">
        <v>0</v>
      </c>
      <c r="J1306" s="13">
        <v>0</v>
      </c>
      <c r="K1306" s="14" t="str">
        <f t="shared" ref="K1306:K1307" si="225">HYPERLINK("http://twitter.com","Twitter Web Client")</f>
        <v>Twitter Web Client</v>
      </c>
      <c r="L1306" s="13">
        <v>15010</v>
      </c>
      <c r="M1306" s="13">
        <v>3798</v>
      </c>
      <c r="N1306" s="13">
        <v>1091</v>
      </c>
      <c r="O1306" s="15"/>
      <c r="P1306" s="6">
        <v>40154.488009259258</v>
      </c>
      <c r="Q1306" s="16" t="s">
        <v>191</v>
      </c>
      <c r="R1306" s="17" t="s">
        <v>4475</v>
      </c>
      <c r="S1306" s="11" t="s">
        <v>4476</v>
      </c>
      <c r="T1306" s="12"/>
      <c r="U1306" s="10" t="str">
        <f>HYPERLINK("https://pbs.twimg.com/profile_images/1042084473062477824/EkaPvJZ3.jpg","View")</f>
        <v>View</v>
      </c>
    </row>
    <row r="1307" spans="1:21" ht="51">
      <c r="A1307" s="6">
        <v>43438.053171296298</v>
      </c>
      <c r="B1307" s="7" t="str">
        <f>HYPERLINK("https://twitter.com/LfilodelabrechA","@LfilodelabrechA")</f>
        <v>@LfilodelabrechA</v>
      </c>
      <c r="C1307" s="8" t="s">
        <v>4033</v>
      </c>
      <c r="D1307" s="9" t="s">
        <v>4477</v>
      </c>
      <c r="E1307" s="10" t="str">
        <f>HYPERLINK("https://twitter.com/LfilodelabrechA/status/1069747253538103296","1069747253538103296")</f>
        <v>1069747253538103296</v>
      </c>
      <c r="F1307" s="12"/>
      <c r="G1307" s="12"/>
      <c r="H1307" s="12"/>
      <c r="I1307" s="13">
        <v>4</v>
      </c>
      <c r="J1307" s="13">
        <v>2</v>
      </c>
      <c r="K1307" s="14" t="str">
        <f t="shared" si="225"/>
        <v>Twitter Web Client</v>
      </c>
      <c r="L1307" s="13">
        <v>21395</v>
      </c>
      <c r="M1307" s="13">
        <v>16322</v>
      </c>
      <c r="N1307" s="13">
        <v>155</v>
      </c>
      <c r="O1307" s="15"/>
      <c r="P1307" s="6">
        <v>41995.189953703702</v>
      </c>
      <c r="Q1307" s="16" t="s">
        <v>4036</v>
      </c>
      <c r="R1307" s="17" t="s">
        <v>4037</v>
      </c>
      <c r="S1307" s="11" t="s">
        <v>4038</v>
      </c>
      <c r="T1307" s="12"/>
      <c r="U1307" s="10" t="str">
        <f>HYPERLINK("https://pbs.twimg.com/profile_images/1015231495512915968/1SaMhOsw.jpg","View")</f>
        <v>View</v>
      </c>
    </row>
    <row r="1308" spans="1:21" ht="51">
      <c r="A1308" s="6">
        <v>43438.046365740738</v>
      </c>
      <c r="B1308" s="7" t="str">
        <f>HYPERLINK("https://twitter.com/Deser7or","@Deser7or")</f>
        <v>@Deser7or</v>
      </c>
      <c r="C1308" s="8" t="s">
        <v>4478</v>
      </c>
      <c r="D1308" s="9" t="s">
        <v>4479</v>
      </c>
      <c r="E1308" s="10" t="str">
        <f>HYPERLINK("https://twitter.com/Deser7or/status/1069744784376586240","1069744784376586240")</f>
        <v>1069744784376586240</v>
      </c>
      <c r="F1308" s="11" t="s">
        <v>4480</v>
      </c>
      <c r="G1308" s="12"/>
      <c r="H1308" s="12"/>
      <c r="I1308" s="13">
        <v>0</v>
      </c>
      <c r="J1308" s="13">
        <v>0</v>
      </c>
      <c r="K1308" s="14" t="str">
        <f t="shared" ref="K1308:K1309" si="226">HYPERLINK("http://twitter.com/download/android","Twitter for Android")</f>
        <v>Twitter for Android</v>
      </c>
      <c r="L1308" s="13">
        <v>106</v>
      </c>
      <c r="M1308" s="13">
        <v>386</v>
      </c>
      <c r="N1308" s="13">
        <v>0</v>
      </c>
      <c r="O1308" s="15"/>
      <c r="P1308" s="6">
        <v>42390.571585648147</v>
      </c>
      <c r="Q1308" s="16" t="s">
        <v>4481</v>
      </c>
      <c r="R1308" s="17" t="s">
        <v>4482</v>
      </c>
      <c r="S1308" s="12"/>
      <c r="T1308" s="12"/>
      <c r="U1308" s="10" t="str">
        <f>HYPERLINK("https://pbs.twimg.com/profile_images/1067187275900047360/NxuxXW14.jpg","View")</f>
        <v>View</v>
      </c>
    </row>
    <row r="1309" spans="1:21" ht="40.799999999999997">
      <c r="A1309" s="6">
        <v>43438.044583333336</v>
      </c>
      <c r="B1309" s="7" t="str">
        <f>HYPERLINK("https://twitter.com/psolidaridad","@psolidaridad")</f>
        <v>@psolidaridad</v>
      </c>
      <c r="C1309" s="8" t="s">
        <v>249</v>
      </c>
      <c r="D1309" s="9" t="s">
        <v>4483</v>
      </c>
      <c r="E1309" s="10" t="str">
        <f>HYPERLINK("https://twitter.com/psolidaridad/status/1069744140328599553","1069744140328599553")</f>
        <v>1069744140328599553</v>
      </c>
      <c r="F1309" s="11" t="s">
        <v>4484</v>
      </c>
      <c r="G1309" s="12"/>
      <c r="H1309" s="12"/>
      <c r="I1309" s="13">
        <v>0</v>
      </c>
      <c r="J1309" s="13">
        <v>1</v>
      </c>
      <c r="K1309" s="14" t="str">
        <f t="shared" si="226"/>
        <v>Twitter for Android</v>
      </c>
      <c r="L1309" s="13">
        <v>1623</v>
      </c>
      <c r="M1309" s="13">
        <v>4841</v>
      </c>
      <c r="N1309" s="13">
        <v>1</v>
      </c>
      <c r="O1309" s="15"/>
      <c r="P1309" s="6">
        <v>41803.502372685187</v>
      </c>
      <c r="Q1309" s="12"/>
      <c r="R1309" s="17" t="s">
        <v>253</v>
      </c>
      <c r="S1309" s="12"/>
      <c r="T1309" s="12"/>
      <c r="U1309" s="10" t="str">
        <f>HYPERLINK("https://pbs.twimg.com/profile_images/1030394358397317120/oQ0F2vnz.jpg","View")</f>
        <v>View</v>
      </c>
    </row>
    <row r="1310" spans="1:21" ht="40.799999999999997">
      <c r="A1310" s="6">
        <v>43438.02857638889</v>
      </c>
      <c r="B1310" s="7" t="str">
        <f>HYPERLINK("https://twitter.com/jbenayasbermejo","@jbenayasbermejo")</f>
        <v>@jbenayasbermejo</v>
      </c>
      <c r="C1310" s="8" t="s">
        <v>4485</v>
      </c>
      <c r="D1310" s="9" t="s">
        <v>4486</v>
      </c>
      <c r="E1310" s="10" t="str">
        <f>HYPERLINK("https://twitter.com/jbenayasbermejo/status/1069738338742091779","1069738338742091779")</f>
        <v>1069738338742091779</v>
      </c>
      <c r="F1310" s="11" t="s">
        <v>4487</v>
      </c>
      <c r="G1310" s="12"/>
      <c r="H1310" s="12"/>
      <c r="I1310" s="13">
        <v>0</v>
      </c>
      <c r="J1310" s="13">
        <v>0</v>
      </c>
      <c r="K1310" s="14" t="str">
        <f>HYPERLINK("http://twitter.com/download/iphone","Twitter for iPhone")</f>
        <v>Twitter for iPhone</v>
      </c>
      <c r="L1310" s="13">
        <v>389</v>
      </c>
      <c r="M1310" s="13">
        <v>356</v>
      </c>
      <c r="N1310" s="13">
        <v>22</v>
      </c>
      <c r="O1310" s="15"/>
      <c r="P1310" s="6">
        <v>41050.027361111112</v>
      </c>
      <c r="Q1310" s="12"/>
      <c r="R1310" s="17" t="s">
        <v>4488</v>
      </c>
      <c r="S1310" s="12"/>
      <c r="T1310" s="12"/>
      <c r="U1310" s="10" t="str">
        <f>HYPERLINK("https://pbs.twimg.com/profile_images/3433374822/8db7d6b3a49c430cefc00509052225e3.jpeg","View")</f>
        <v>View</v>
      </c>
    </row>
    <row r="1311" spans="1:21" ht="20.399999999999999">
      <c r="A1311" s="6">
        <v>43438.019826388889</v>
      </c>
      <c r="B1311" s="7" t="str">
        <f>HYPERLINK("https://twitter.com/Eugenio63098874","@Eugenio63098874")</f>
        <v>@Eugenio63098874</v>
      </c>
      <c r="C1311" s="8" t="s">
        <v>2535</v>
      </c>
      <c r="D1311" s="9" t="s">
        <v>4489</v>
      </c>
      <c r="E1311" s="10" t="str">
        <f>HYPERLINK("https://twitter.com/Eugenio63098874/status/1069735169907601408","1069735169907601408")</f>
        <v>1069735169907601408</v>
      </c>
      <c r="F1311" s="11" t="s">
        <v>4093</v>
      </c>
      <c r="G1311" s="12"/>
      <c r="H1311" s="12"/>
      <c r="I1311" s="13">
        <v>0</v>
      </c>
      <c r="J1311" s="13">
        <v>0</v>
      </c>
      <c r="K1311" s="14" t="str">
        <f>HYPERLINK("http://twitter.com","Twitter Web Client")</f>
        <v>Twitter Web Client</v>
      </c>
      <c r="L1311" s="13">
        <v>26</v>
      </c>
      <c r="M1311" s="13">
        <v>322</v>
      </c>
      <c r="N1311" s="13">
        <v>0</v>
      </c>
      <c r="O1311" s="15"/>
      <c r="P1311" s="6">
        <v>43189.665138888886</v>
      </c>
      <c r="Q1311" s="12"/>
      <c r="R1311" s="20"/>
      <c r="S1311" s="12"/>
      <c r="T1311" s="12"/>
      <c r="U1311" s="10" t="str">
        <f>HYPERLINK("https://pbs.twimg.com/profile_images/1044637518631710720/L1M74q26.jpg","View")</f>
        <v>View</v>
      </c>
    </row>
    <row r="1312" spans="1:21" ht="30.6">
      <c r="A1312" s="6">
        <v>43438.006666666668</v>
      </c>
      <c r="B1312" s="7" t="str">
        <f>HYPERLINK("https://twitter.com/OsmaSalaz","@OsmaSalaz")</f>
        <v>@OsmaSalaz</v>
      </c>
      <c r="C1312" s="8" t="s">
        <v>4490</v>
      </c>
      <c r="D1312" s="9" t="s">
        <v>4491</v>
      </c>
      <c r="E1312" s="10" t="str">
        <f>HYPERLINK("https://twitter.com/OsmaSalaz/status/1069730397469081601","1069730397469081601")</f>
        <v>1069730397469081601</v>
      </c>
      <c r="F1312" s="16" t="s">
        <v>4492</v>
      </c>
      <c r="G1312" s="12"/>
      <c r="H1312" s="12"/>
      <c r="I1312" s="13">
        <v>0</v>
      </c>
      <c r="J1312" s="13">
        <v>0</v>
      </c>
      <c r="K1312" s="14" t="str">
        <f>HYPERLINK("https://dlvrit.com/","dlvr.it")</f>
        <v>dlvr.it</v>
      </c>
      <c r="L1312" s="13">
        <v>2</v>
      </c>
      <c r="M1312" s="13">
        <v>47</v>
      </c>
      <c r="N1312" s="13">
        <v>0</v>
      </c>
      <c r="O1312" s="15"/>
      <c r="P1312" s="6">
        <v>42957.494432870371</v>
      </c>
      <c r="Q1312" s="16" t="s">
        <v>861</v>
      </c>
      <c r="R1312" s="17" t="s">
        <v>4493</v>
      </c>
      <c r="S1312" s="12"/>
      <c r="T1312" s="12"/>
      <c r="U1312" s="10" t="str">
        <f>HYPERLINK("https://pbs.twimg.com/profile_images/1006906374520000512/TGsQDFE1.jpg","View")</f>
        <v>View</v>
      </c>
    </row>
    <row r="1313" spans="1:21" ht="30.6">
      <c r="A1313" s="6">
        <v>43438.001562500001</v>
      </c>
      <c r="B1313" s="7" t="str">
        <f>HYPERLINK("https://twitter.com/PepitaMenaMart1","@PepitaMenaMart1")</f>
        <v>@PepitaMenaMart1</v>
      </c>
      <c r="C1313" s="8" t="s">
        <v>4494</v>
      </c>
      <c r="D1313" s="9" t="s">
        <v>4495</v>
      </c>
      <c r="E1313" s="10" t="str">
        <f>HYPERLINK("https://twitter.com/PepitaMenaMart1/status/1069728549119148033","1069728549119148033")</f>
        <v>1069728549119148033</v>
      </c>
      <c r="F1313" s="11" t="s">
        <v>4496</v>
      </c>
      <c r="G1313" s="12"/>
      <c r="H1313" s="12"/>
      <c r="I1313" s="13">
        <v>1</v>
      </c>
      <c r="J1313" s="13">
        <v>1</v>
      </c>
      <c r="K1313" s="14" t="str">
        <f t="shared" ref="K1313:K1315" si="227">HYPERLINK("http://twitter.com/download/android","Twitter for Android")</f>
        <v>Twitter for Android</v>
      </c>
      <c r="L1313" s="13">
        <v>437</v>
      </c>
      <c r="M1313" s="13">
        <v>350</v>
      </c>
      <c r="N1313" s="13">
        <v>1</v>
      </c>
      <c r="O1313" s="15"/>
      <c r="P1313" s="6">
        <v>43124.888506944444</v>
      </c>
      <c r="Q1313" s="16" t="s">
        <v>4497</v>
      </c>
      <c r="R1313" s="17" t="s">
        <v>4498</v>
      </c>
      <c r="S1313" s="12"/>
      <c r="T1313" s="12"/>
      <c r="U1313" s="10" t="str">
        <f>HYPERLINK("https://pbs.twimg.com/profile_images/1053410905311064064/xChXdA8v.jpg","View")</f>
        <v>View</v>
      </c>
    </row>
    <row r="1314" spans="1:21" ht="51">
      <c r="A1314" s="6">
        <v>43437.994467592594</v>
      </c>
      <c r="B1314" s="7" t="str">
        <f>HYPERLINK("https://twitter.com/Jotacavaz","@Jotacavaz")</f>
        <v>@Jotacavaz</v>
      </c>
      <c r="C1314" s="8" t="s">
        <v>4499</v>
      </c>
      <c r="D1314" s="9" t="s">
        <v>4500</v>
      </c>
      <c r="E1314" s="10" t="str">
        <f>HYPERLINK("https://twitter.com/Jotacavaz/status/1069725977704628227","1069725977704628227")</f>
        <v>1069725977704628227</v>
      </c>
      <c r="F1314" s="12"/>
      <c r="G1314" s="11" t="s">
        <v>4501</v>
      </c>
      <c r="H1314" s="12"/>
      <c r="I1314" s="13">
        <v>13</v>
      </c>
      <c r="J1314" s="13">
        <v>32</v>
      </c>
      <c r="K1314" s="14" t="str">
        <f t="shared" si="227"/>
        <v>Twitter for Android</v>
      </c>
      <c r="L1314" s="13">
        <v>13945</v>
      </c>
      <c r="M1314" s="13">
        <v>13284</v>
      </c>
      <c r="N1314" s="13">
        <v>30</v>
      </c>
      <c r="O1314" s="15"/>
      <c r="P1314" s="6">
        <v>41499.588969907403</v>
      </c>
      <c r="Q1314" s="16" t="s">
        <v>4502</v>
      </c>
      <c r="R1314" s="17" t="s">
        <v>4503</v>
      </c>
      <c r="S1314" s="12"/>
      <c r="T1314" s="12"/>
      <c r="U1314" s="10" t="str">
        <f>HYPERLINK("https://pbs.twimg.com/profile_images/378800000289577728/b1e307e244d0ddf6625e800517acb208.jpeg","View")</f>
        <v>View</v>
      </c>
    </row>
    <row r="1315" spans="1:21" ht="81.599999999999994">
      <c r="A1315" s="6">
        <v>43437.984085648146</v>
      </c>
      <c r="B1315" s="7" t="str">
        <f>HYPERLINK("https://twitter.com/compromtido22","@compromtido22")</f>
        <v>@compromtido22</v>
      </c>
      <c r="C1315" s="8" t="s">
        <v>702</v>
      </c>
      <c r="D1315" s="9" t="s">
        <v>4504</v>
      </c>
      <c r="E1315" s="10" t="str">
        <f>HYPERLINK("https://twitter.com/compromtido22/status/1069722217427144707","1069722217427144707")</f>
        <v>1069722217427144707</v>
      </c>
      <c r="F1315" s="11" t="s">
        <v>4505</v>
      </c>
      <c r="G1315" s="12"/>
      <c r="H1315" s="12"/>
      <c r="I1315" s="13">
        <v>0</v>
      </c>
      <c r="J1315" s="13">
        <v>0</v>
      </c>
      <c r="K1315" s="14" t="str">
        <f t="shared" si="227"/>
        <v>Twitter for Android</v>
      </c>
      <c r="L1315" s="13">
        <v>955</v>
      </c>
      <c r="M1315" s="13">
        <v>858</v>
      </c>
      <c r="N1315" s="13">
        <v>15</v>
      </c>
      <c r="O1315" s="15"/>
      <c r="P1315" s="6">
        <v>42411.832291666666</v>
      </c>
      <c r="Q1315" s="12"/>
      <c r="R1315" s="17" t="s">
        <v>704</v>
      </c>
      <c r="S1315" s="12"/>
      <c r="T1315" s="12"/>
      <c r="U1315" s="10" t="str">
        <f>HYPERLINK("https://pbs.twimg.com/profile_images/1062806370267860993/RfSkyzB-.jpg","View")</f>
        <v>View</v>
      </c>
    </row>
    <row r="1316" spans="1:21" ht="40.799999999999997">
      <c r="A1316" s="6">
        <v>43437.983194444445</v>
      </c>
      <c r="B1316" s="7" t="str">
        <f>HYPERLINK("https://twitter.com/karinasainz","@karinasainz")</f>
        <v>@karinasainz</v>
      </c>
      <c r="C1316" s="8" t="s">
        <v>4506</v>
      </c>
      <c r="D1316" s="9" t="s">
        <v>4507</v>
      </c>
      <c r="E1316" s="10" t="str">
        <f>HYPERLINK("https://twitter.com/karinasainz/status/1069721893677228032","1069721893677228032")</f>
        <v>1069721893677228032</v>
      </c>
      <c r="F1316" s="11" t="s">
        <v>4508</v>
      </c>
      <c r="G1316" s="12"/>
      <c r="H1316" s="12"/>
      <c r="I1316" s="13">
        <v>1</v>
      </c>
      <c r="J1316" s="13">
        <v>4</v>
      </c>
      <c r="K1316" s="14" t="str">
        <f t="shared" ref="K1316:K1317" si="228">HYPERLINK("http://twitter.com","Twitter Web Client")</f>
        <v>Twitter Web Client</v>
      </c>
      <c r="L1316" s="13">
        <v>10287</v>
      </c>
      <c r="M1316" s="13">
        <v>1022</v>
      </c>
      <c r="N1316" s="13">
        <v>332</v>
      </c>
      <c r="O1316" s="15"/>
      <c r="P1316" s="6">
        <v>40041.144444444442</v>
      </c>
      <c r="Q1316" s="16" t="s">
        <v>191</v>
      </c>
      <c r="R1316" s="17" t="s">
        <v>4509</v>
      </c>
      <c r="S1316" s="12"/>
      <c r="T1316" s="12"/>
      <c r="U1316" s="10" t="str">
        <f>HYPERLINK("https://pbs.twimg.com/profile_images/1050516183525584896/-42aSpJT.jpg","View")</f>
        <v>View</v>
      </c>
    </row>
    <row r="1317" spans="1:21" ht="51">
      <c r="A1317" s="6">
        <v>43437.979768518519</v>
      </c>
      <c r="B1317" s="7" t="str">
        <f>HYPERLINK("https://twitter.com/Eldescansodeles","@Eldescansodeles")</f>
        <v>@Eldescansodeles</v>
      </c>
      <c r="C1317" s="8" t="s">
        <v>4510</v>
      </c>
      <c r="D1317" s="9" t="s">
        <v>4511</v>
      </c>
      <c r="E1317" s="10" t="str">
        <f>HYPERLINK("https://twitter.com/Eldescansodeles/status/1069720652024815616","1069720652024815616")</f>
        <v>1069720652024815616</v>
      </c>
      <c r="F1317" s="12"/>
      <c r="G1317" s="12"/>
      <c r="H1317" s="12"/>
      <c r="I1317" s="13">
        <v>3</v>
      </c>
      <c r="J1317" s="13">
        <v>14</v>
      </c>
      <c r="K1317" s="14" t="str">
        <f t="shared" si="228"/>
        <v>Twitter Web Client</v>
      </c>
      <c r="L1317" s="13">
        <v>1272</v>
      </c>
      <c r="M1317" s="13">
        <v>444</v>
      </c>
      <c r="N1317" s="13">
        <v>32</v>
      </c>
      <c r="O1317" s="15"/>
      <c r="P1317" s="6">
        <v>41326.750821759255</v>
      </c>
      <c r="Q1317" s="16" t="s">
        <v>4512</v>
      </c>
      <c r="R1317" s="17" t="s">
        <v>4513</v>
      </c>
      <c r="S1317" s="11" t="s">
        <v>4514</v>
      </c>
      <c r="T1317" s="12"/>
      <c r="U1317" s="10" t="str">
        <f>HYPERLINK("https://pbs.twimg.com/profile_images/3287842751/ef4352a4a361080ba41977b6ed5b1c93.png","View")</f>
        <v>View</v>
      </c>
    </row>
    <row r="1318" spans="1:21" ht="40.799999999999997">
      <c r="A1318" s="6">
        <v>43437.979166666672</v>
      </c>
      <c r="B1318" s="7" t="str">
        <f>HYPERLINK("https://twitter.com/el_pais","@el_pais")</f>
        <v>@el_pais</v>
      </c>
      <c r="C1318" s="8" t="s">
        <v>4515</v>
      </c>
      <c r="D1318" s="9" t="s">
        <v>4516</v>
      </c>
      <c r="E1318" s="10" t="str">
        <f>HYPERLINK("https://twitter.com/el_pais/status/1069720433371443200","1069720433371443200")</f>
        <v>1069720433371443200</v>
      </c>
      <c r="F1318" s="11" t="s">
        <v>4517</v>
      </c>
      <c r="G1318" s="12"/>
      <c r="H1318" s="12"/>
      <c r="I1318" s="13">
        <v>72</v>
      </c>
      <c r="J1318" s="13">
        <v>52</v>
      </c>
      <c r="K1318" s="14" t="str">
        <f>HYPERLINK("https://about.twitter.com/products/tweetdeck","TweetDeck")</f>
        <v>TweetDeck</v>
      </c>
      <c r="L1318" s="13">
        <v>6735055</v>
      </c>
      <c r="M1318" s="13">
        <v>776</v>
      </c>
      <c r="N1318" s="13">
        <v>56002</v>
      </c>
      <c r="O1318" s="19" t="s">
        <v>44</v>
      </c>
      <c r="P1318" s="6">
        <v>39300.76399305556</v>
      </c>
      <c r="Q1318" s="16" t="s">
        <v>191</v>
      </c>
      <c r="R1318" s="17" t="s">
        <v>4518</v>
      </c>
      <c r="S1318" s="11" t="s">
        <v>4519</v>
      </c>
      <c r="T1318" s="12"/>
      <c r="U1318" s="10" t="str">
        <f>HYPERLINK("https://pbs.twimg.com/profile_images/815456059322036224/o_RQNEOh.jpg","View")</f>
        <v>View</v>
      </c>
    </row>
    <row r="1319" spans="1:21" ht="30.6">
      <c r="A1319" s="6">
        <v>43437.975868055553</v>
      </c>
      <c r="B1319" s="7" t="str">
        <f>HYPERLINK("https://twitter.com/NoticieroUniv","@NoticieroUniv")</f>
        <v>@NoticieroUniv</v>
      </c>
      <c r="C1319" s="8" t="s">
        <v>4520</v>
      </c>
      <c r="D1319" s="9" t="s">
        <v>4521</v>
      </c>
      <c r="E1319" s="10" t="str">
        <f>HYPERLINK("https://twitter.com/NoticieroUniv/status/1069719236556324866","1069719236556324866")</f>
        <v>1069719236556324866</v>
      </c>
      <c r="F1319" s="11" t="s">
        <v>4522</v>
      </c>
      <c r="G1319" s="12"/>
      <c r="H1319" s="12"/>
      <c r="I1319" s="13">
        <v>0</v>
      </c>
      <c r="J1319" s="13">
        <v>0</v>
      </c>
      <c r="K1319" s="14" t="str">
        <f>HYPERLINK("https://noticierouniversal.com/","NoticieroUniversal")</f>
        <v>NoticieroUniversal</v>
      </c>
      <c r="L1319" s="13">
        <v>836</v>
      </c>
      <c r="M1319" s="13">
        <v>36</v>
      </c>
      <c r="N1319" s="13">
        <v>21</v>
      </c>
      <c r="O1319" s="15"/>
      <c r="P1319" s="6">
        <v>42402.547939814816</v>
      </c>
      <c r="Q1319" s="16" t="s">
        <v>587</v>
      </c>
      <c r="R1319" s="17" t="s">
        <v>4523</v>
      </c>
      <c r="S1319" s="11" t="s">
        <v>4524</v>
      </c>
      <c r="T1319" s="12"/>
      <c r="U1319" s="10" t="str">
        <f>HYPERLINK("https://pbs.twimg.com/profile_images/719648419925594113/OnR0XNMn.jpg","View")</f>
        <v>View</v>
      </c>
    </row>
    <row r="1320" spans="1:21" ht="30.6">
      <c r="A1320" s="6">
        <v>43437.972395833334</v>
      </c>
      <c r="B1320" s="7" t="str">
        <f>HYPERLINK("https://twitter.com/TodalamusicaEs","@TodalamusicaEs")</f>
        <v>@TodalamusicaEs</v>
      </c>
      <c r="C1320" s="21" t="s">
        <v>4525</v>
      </c>
      <c r="D1320" s="9" t="s">
        <v>4526</v>
      </c>
      <c r="E1320" s="10" t="str">
        <f>HYPERLINK("https://twitter.com/TodalamusicaEs/status/1069717978692894720","1069717978692894720")</f>
        <v>1069717978692894720</v>
      </c>
      <c r="F1320" s="12"/>
      <c r="G1320" s="11" t="s">
        <v>4527</v>
      </c>
      <c r="H1320" s="12"/>
      <c r="I1320" s="13">
        <v>0</v>
      </c>
      <c r="J1320" s="13">
        <v>5</v>
      </c>
      <c r="K1320" s="14" t="str">
        <f>HYPERLINK("http://twitter.com","Twitter Web Client")</f>
        <v>Twitter Web Client</v>
      </c>
      <c r="L1320" s="13">
        <v>347</v>
      </c>
      <c r="M1320" s="13">
        <v>216</v>
      </c>
      <c r="N1320" s="13">
        <v>8</v>
      </c>
      <c r="O1320" s="15"/>
      <c r="P1320" s="6">
        <v>42883.046944444446</v>
      </c>
      <c r="Q1320" s="16" t="s">
        <v>4156</v>
      </c>
      <c r="R1320" s="17" t="s">
        <v>4528</v>
      </c>
      <c r="S1320" s="11" t="s">
        <v>4529</v>
      </c>
      <c r="T1320" s="12"/>
      <c r="U1320" s="10" t="str">
        <f>HYPERLINK("https://pbs.twimg.com/profile_images/870388845795303424/kxKA7hKE.jpg","View")</f>
        <v>View</v>
      </c>
    </row>
    <row r="1321" spans="1:21" ht="40.799999999999997">
      <c r="A1321" s="6">
        <v>43437.959467592591</v>
      </c>
      <c r="B1321" s="7" t="str">
        <f>HYPERLINK("https://twitter.com/josegabriel467","@josegabriel467")</f>
        <v>@josegabriel467</v>
      </c>
      <c r="C1321" s="8" t="s">
        <v>3723</v>
      </c>
      <c r="D1321" s="9" t="s">
        <v>4530</v>
      </c>
      <c r="E1321" s="10" t="str">
        <f>HYPERLINK("https://twitter.com/josegabriel467/status/1069713296486490117","1069713296486490117")</f>
        <v>1069713296486490117</v>
      </c>
      <c r="F1321" s="11" t="s">
        <v>4531</v>
      </c>
      <c r="G1321" s="12"/>
      <c r="H1321" s="12"/>
      <c r="I1321" s="13">
        <v>0</v>
      </c>
      <c r="J1321" s="13">
        <v>1</v>
      </c>
      <c r="K1321" s="14" t="str">
        <f>HYPERLINK("http://www.facebook.com/twitter","Facebook")</f>
        <v>Facebook</v>
      </c>
      <c r="L1321" s="13">
        <v>1624</v>
      </c>
      <c r="M1321" s="13">
        <v>1614</v>
      </c>
      <c r="N1321" s="13">
        <v>23</v>
      </c>
      <c r="O1321" s="15"/>
      <c r="P1321" s="6">
        <v>40844.535150462965</v>
      </c>
      <c r="Q1321" s="16" t="s">
        <v>48</v>
      </c>
      <c r="R1321" s="17" t="s">
        <v>3725</v>
      </c>
      <c r="S1321" s="11" t="s">
        <v>3726</v>
      </c>
      <c r="T1321" s="12"/>
      <c r="U1321" s="10" t="str">
        <f>HYPERLINK("https://pbs.twimg.com/profile_images/864586721966436354/WwV_o0gL.jpg","View")</f>
        <v>View</v>
      </c>
    </row>
    <row r="1322" spans="1:21" ht="51">
      <c r="A1322" s="6">
        <v>43437.955520833333</v>
      </c>
      <c r="B1322" s="7" t="str">
        <f>HYPERLINK("https://twitter.com/EstroPPicio","@EstroPPicio")</f>
        <v>@EstroPPicio</v>
      </c>
      <c r="C1322" s="8" t="s">
        <v>4532</v>
      </c>
      <c r="D1322" s="9" t="s">
        <v>4533</v>
      </c>
      <c r="E1322" s="10" t="str">
        <f>HYPERLINK("https://twitter.com/EstroPPicio/status/1069711863028572160","1069711863028572160")</f>
        <v>1069711863028572160</v>
      </c>
      <c r="F1322" s="11" t="s">
        <v>4534</v>
      </c>
      <c r="G1322" s="12"/>
      <c r="H1322" s="12"/>
      <c r="I1322" s="13">
        <v>1</v>
      </c>
      <c r="J1322" s="13">
        <v>0</v>
      </c>
      <c r="K1322" s="14" t="str">
        <f t="shared" ref="K1322:K1323" si="229">HYPERLINK("http://twitter.com","Twitter Web Client")</f>
        <v>Twitter Web Client</v>
      </c>
      <c r="L1322" s="13">
        <v>1151</v>
      </c>
      <c r="M1322" s="13">
        <v>1803</v>
      </c>
      <c r="N1322" s="13">
        <v>30</v>
      </c>
      <c r="O1322" s="15"/>
      <c r="P1322" s="6">
        <v>41094.793888888889</v>
      </c>
      <c r="Q1322" s="16" t="s">
        <v>4535</v>
      </c>
      <c r="R1322" s="17" t="s">
        <v>4536</v>
      </c>
      <c r="S1322" s="11" t="s">
        <v>4537</v>
      </c>
      <c r="T1322" s="12"/>
      <c r="U1322" s="10" t="str">
        <f>HYPERLINK("https://pbs.twimg.com/profile_images/2907443219/dd101e9730a0320edfd3bf1f0cfc1495.jpeg","View")</f>
        <v>View</v>
      </c>
    </row>
    <row r="1323" spans="1:21" ht="40.799999999999997">
      <c r="A1323" s="6">
        <v>43437.95417824074</v>
      </c>
      <c r="B1323" s="7" t="str">
        <f>HYPERLINK("https://twitter.com/PlateaMagazine","@PlateaMagazine")</f>
        <v>@PlateaMagazine</v>
      </c>
      <c r="C1323" s="8" t="s">
        <v>4538</v>
      </c>
      <c r="D1323" s="9" t="s">
        <v>4539</v>
      </c>
      <c r="E1323" s="10" t="str">
        <f>HYPERLINK("https://twitter.com/PlateaMagazine/status/1069711379932819457","1069711379932819457")</f>
        <v>1069711379932819457</v>
      </c>
      <c r="F1323" s="11" t="s">
        <v>4540</v>
      </c>
      <c r="G1323" s="12"/>
      <c r="H1323" s="12"/>
      <c r="I1323" s="13">
        <v>9</v>
      </c>
      <c r="J1323" s="13">
        <v>34</v>
      </c>
      <c r="K1323" s="14" t="str">
        <f t="shared" si="229"/>
        <v>Twitter Web Client</v>
      </c>
      <c r="L1323" s="13">
        <v>3775</v>
      </c>
      <c r="M1323" s="13">
        <v>96</v>
      </c>
      <c r="N1323" s="13">
        <v>89</v>
      </c>
      <c r="O1323" s="15"/>
      <c r="P1323" s="6">
        <v>42315.946111111116</v>
      </c>
      <c r="Q1323" s="12"/>
      <c r="R1323" s="17" t="s">
        <v>4541</v>
      </c>
      <c r="S1323" s="11" t="s">
        <v>4542</v>
      </c>
      <c r="T1323" s="12"/>
      <c r="U1323" s="10" t="str">
        <f>HYPERLINK("https://pbs.twimg.com/profile_images/1046652007216549888/pMJErLXU.jpg","View")</f>
        <v>View</v>
      </c>
    </row>
    <row r="1324" spans="1:21" ht="102">
      <c r="A1324" s="6">
        <v>43437.94394675926</v>
      </c>
      <c r="B1324" s="7" t="str">
        <f>HYPERLINK("https://twitter.com/ChechuGutierrez","@ChechuGutierrez")</f>
        <v>@ChechuGutierrez</v>
      </c>
      <c r="C1324" s="8" t="s">
        <v>4543</v>
      </c>
      <c r="D1324" s="9" t="s">
        <v>4544</v>
      </c>
      <c r="E1324" s="10" t="str">
        <f>HYPERLINK("https://twitter.com/ChechuGutierrez/status/1069707671757045768","1069707671757045768")</f>
        <v>1069707671757045768</v>
      </c>
      <c r="F1324" s="16" t="s">
        <v>4119</v>
      </c>
      <c r="G1324" s="11" t="s">
        <v>4120</v>
      </c>
      <c r="H1324" s="12"/>
      <c r="I1324" s="13">
        <v>0</v>
      </c>
      <c r="J1324" s="13">
        <v>0</v>
      </c>
      <c r="K1324" s="14" t="str">
        <f>HYPERLINK("http://twitter.com/download/iphone","Twitter for iPhone")</f>
        <v>Twitter for iPhone</v>
      </c>
      <c r="L1324" s="13">
        <v>156</v>
      </c>
      <c r="M1324" s="13">
        <v>177</v>
      </c>
      <c r="N1324" s="13">
        <v>15</v>
      </c>
      <c r="O1324" s="15"/>
      <c r="P1324" s="6">
        <v>40033.237013888887</v>
      </c>
      <c r="Q1324" s="12"/>
      <c r="R1324" s="17" t="s">
        <v>4545</v>
      </c>
      <c r="S1324" s="11" t="s">
        <v>4546</v>
      </c>
      <c r="T1324" s="12"/>
      <c r="U1324" s="10" t="str">
        <f>HYPERLINK("https://pbs.twimg.com/profile_images/1067549125900677121/RPnQxPM2.jpg","View")</f>
        <v>View</v>
      </c>
    </row>
    <row r="1325" spans="1:21" ht="30.6">
      <c r="A1325" s="6">
        <v>43437.940347222218</v>
      </c>
      <c r="B1325" s="7" t="str">
        <f>HYPERLINK("https://twitter.com/zemanelferreira","@zemanelferreira")</f>
        <v>@zemanelferreira</v>
      </c>
      <c r="C1325" s="8" t="s">
        <v>4547</v>
      </c>
      <c r="D1325" s="9" t="s">
        <v>4548</v>
      </c>
      <c r="E1325" s="10" t="str">
        <f>HYPERLINK("https://twitter.com/zemanelferreira/status/1069706367718617088","1069706367718617088")</f>
        <v>1069706367718617088</v>
      </c>
      <c r="F1325" s="11" t="s">
        <v>4549</v>
      </c>
      <c r="G1325" s="12"/>
      <c r="H1325" s="12"/>
      <c r="I1325" s="13">
        <v>0</v>
      </c>
      <c r="J1325" s="13">
        <v>0</v>
      </c>
      <c r="K1325" s="14" t="str">
        <f>HYPERLINK("http://www.facebook.com/twitter","Facebook")</f>
        <v>Facebook</v>
      </c>
      <c r="L1325" s="13">
        <v>61</v>
      </c>
      <c r="M1325" s="13">
        <v>160</v>
      </c>
      <c r="N1325" s="13">
        <v>0</v>
      </c>
      <c r="O1325" s="15"/>
      <c r="P1325" s="6">
        <v>40018.698425925926</v>
      </c>
      <c r="Q1325" s="16" t="s">
        <v>4550</v>
      </c>
      <c r="R1325" s="17" t="s">
        <v>4551</v>
      </c>
      <c r="S1325" s="12"/>
      <c r="T1325" s="12"/>
      <c r="U1325" s="10" t="str">
        <f>HYPERLINK("https://pbs.twimg.com/profile_images/725342685/DSC_0304.JPG","View")</f>
        <v>View</v>
      </c>
    </row>
    <row r="1326" spans="1:21" ht="51">
      <c r="A1326" s="6">
        <v>43437.939513888894</v>
      </c>
      <c r="B1326" s="7" t="str">
        <f>HYPERLINK("https://twitter.com/JaimeBN1987","@JaimeBN1987")</f>
        <v>@JaimeBN1987</v>
      </c>
      <c r="C1326" s="8" t="s">
        <v>4552</v>
      </c>
      <c r="D1326" s="9" t="s">
        <v>4553</v>
      </c>
      <c r="E1326" s="10" t="str">
        <f>HYPERLINK("https://twitter.com/JaimeBN1987/status/1069706065187651584","1069706065187651584")</f>
        <v>1069706065187651584</v>
      </c>
      <c r="F1326" s="12"/>
      <c r="G1326" s="12"/>
      <c r="H1326" s="12"/>
      <c r="I1326" s="13">
        <v>5</v>
      </c>
      <c r="J1326" s="13">
        <v>15</v>
      </c>
      <c r="K1326" s="14" t="str">
        <f>HYPERLINK("http://twitter.com/download/android","Twitter for Android")</f>
        <v>Twitter for Android</v>
      </c>
      <c r="L1326" s="13">
        <v>9966</v>
      </c>
      <c r="M1326" s="13">
        <v>3322</v>
      </c>
      <c r="N1326" s="13">
        <v>239</v>
      </c>
      <c r="O1326" s="15"/>
      <c r="P1326" s="6">
        <v>40380.61891203704</v>
      </c>
      <c r="Q1326" s="16" t="s">
        <v>4555</v>
      </c>
      <c r="R1326" s="17" t="s">
        <v>4556</v>
      </c>
      <c r="S1326" s="11" t="s">
        <v>4557</v>
      </c>
      <c r="T1326" s="12"/>
      <c r="U1326" s="10" t="str">
        <f>HYPERLINK("https://pbs.twimg.com/profile_images/1066736613185728512/02PBFHXK.jpg","View")</f>
        <v>View</v>
      </c>
    </row>
    <row r="1327" spans="1:21" ht="20.399999999999999">
      <c r="A1327" s="6">
        <v>43437.938993055555</v>
      </c>
      <c r="B1327" s="7" t="str">
        <f>HYPERLINK("https://twitter.com/bowsskaebooks","@bowsskaebooks")</f>
        <v>@bowsskaebooks</v>
      </c>
      <c r="C1327" s="8" t="s">
        <v>4558</v>
      </c>
      <c r="D1327" s="9" t="s">
        <v>4559</v>
      </c>
      <c r="E1327" s="10" t="str">
        <f>HYPERLINK("https://twitter.com/bowsskaebooks/status/1069705875588300800","1069705875588300800")</f>
        <v>1069705875588300800</v>
      </c>
      <c r="F1327" s="12"/>
      <c r="G1327" s="12"/>
      <c r="H1327" s="12"/>
      <c r="I1327" s="13">
        <v>0</v>
      </c>
      <c r="J1327" s="13">
        <v>0</v>
      </c>
      <c r="K1327" s="14" t="str">
        <f>HYPERLINK("http://www.foo.com/","bowsskaebooks")</f>
        <v>bowsskaebooks</v>
      </c>
      <c r="L1327" s="13">
        <v>7</v>
      </c>
      <c r="M1327" s="13">
        <v>1</v>
      </c>
      <c r="N1327" s="13">
        <v>0</v>
      </c>
      <c r="O1327" s="15"/>
      <c r="P1327" s="6">
        <v>42965.398344907408</v>
      </c>
      <c r="Q1327" s="12"/>
      <c r="R1327" s="17" t="s">
        <v>4560</v>
      </c>
      <c r="S1327" s="12"/>
      <c r="T1327" s="12"/>
      <c r="U1327" s="10" t="str">
        <f>HYPERLINK("https://pbs.twimg.com/profile_images/898449008099827712/vTR_8kbH.jpg","View")</f>
        <v>View</v>
      </c>
    </row>
    <row r="1328" spans="1:21" ht="20.399999999999999">
      <c r="A1328" s="6">
        <v>43437.937384259261</v>
      </c>
      <c r="B1328" s="7" t="str">
        <f>HYPERLINK("https://twitter.com/MariaCPartal","@MariaCPartal")</f>
        <v>@MariaCPartal</v>
      </c>
      <c r="C1328" s="8" t="s">
        <v>4561</v>
      </c>
      <c r="D1328" s="9" t="s">
        <v>4562</v>
      </c>
      <c r="E1328" s="10" t="str">
        <f>HYPERLINK("https://twitter.com/MariaCPartal/status/1069705293884481537","1069705293884481537")</f>
        <v>1069705293884481537</v>
      </c>
      <c r="F1328" s="12"/>
      <c r="G1328" s="12"/>
      <c r="H1328" s="12"/>
      <c r="I1328" s="13">
        <v>0</v>
      </c>
      <c r="J1328" s="13">
        <v>0</v>
      </c>
      <c r="K1328" s="14" t="str">
        <f>HYPERLINK("http://twitter.com/download/iphone","Twitter for iPhone")</f>
        <v>Twitter for iPhone</v>
      </c>
      <c r="L1328" s="13">
        <v>142</v>
      </c>
      <c r="M1328" s="13">
        <v>230</v>
      </c>
      <c r="N1328" s="13">
        <v>0</v>
      </c>
      <c r="O1328" s="15"/>
      <c r="P1328" s="6">
        <v>40109.869664351849</v>
      </c>
      <c r="Q1328" s="16" t="s">
        <v>30</v>
      </c>
      <c r="R1328" s="17" t="s">
        <v>4563</v>
      </c>
      <c r="S1328" s="11" t="s">
        <v>4564</v>
      </c>
      <c r="T1328" s="12"/>
      <c r="U1328" s="10" t="str">
        <f>HYPERLINK("https://pbs.twimg.com/profile_images/1006543747847467010/bU4JTtvN.jpg","View")</f>
        <v>View</v>
      </c>
    </row>
    <row r="1329" spans="1:21" ht="51">
      <c r="A1329" s="6">
        <v>43437.937094907407</v>
      </c>
      <c r="B1329" s="7" t="str">
        <f>HYPERLINK("https://twitter.com/MorenoG_Agustin","@MorenoG_Agustin")</f>
        <v>@MorenoG_Agustin</v>
      </c>
      <c r="C1329" s="8" t="s">
        <v>4565</v>
      </c>
      <c r="D1329" s="9" t="s">
        <v>4566</v>
      </c>
      <c r="E1329" s="10" t="str">
        <f>HYPERLINK("https://twitter.com/MorenoG_Agustin/status/1069705189463085061","1069705189463085061")</f>
        <v>1069705189463085061</v>
      </c>
      <c r="F1329" s="12"/>
      <c r="G1329" s="12"/>
      <c r="H1329" s="12"/>
      <c r="I1329" s="13">
        <v>501</v>
      </c>
      <c r="J1329" s="13">
        <v>665</v>
      </c>
      <c r="K1329" s="14" t="str">
        <f>HYPERLINK("https://mobile.twitter.com","Twitter Lite")</f>
        <v>Twitter Lite</v>
      </c>
      <c r="L1329" s="13">
        <v>52633</v>
      </c>
      <c r="M1329" s="13">
        <v>29875</v>
      </c>
      <c r="N1329" s="13">
        <v>562</v>
      </c>
      <c r="O1329" s="15"/>
      <c r="P1329" s="6">
        <v>41203.912627314814</v>
      </c>
      <c r="Q1329" s="12"/>
      <c r="R1329" s="17" t="s">
        <v>4567</v>
      </c>
      <c r="S1329" s="12"/>
      <c r="T1329" s="12"/>
      <c r="U1329" s="10" t="str">
        <f>HYPERLINK("https://pbs.twimg.com/profile_images/822517815538315266/8_qQt3sS.jpg","View")</f>
        <v>View</v>
      </c>
    </row>
    <row r="1330" spans="1:21" ht="20.399999999999999">
      <c r="A1330" s="6">
        <v>43437.933854166666</v>
      </c>
      <c r="B1330" s="7" t="str">
        <f>HYPERLINK("https://twitter.com/jibirimike","@jibirimike")</f>
        <v>@jibirimike</v>
      </c>
      <c r="C1330" s="8" t="s">
        <v>4569</v>
      </c>
      <c r="D1330" s="9" t="s">
        <v>4570</v>
      </c>
      <c r="E1330" s="10" t="str">
        <f>HYPERLINK("https://twitter.com/jibirimike/status/1069704013157949440","1069704013157949440")</f>
        <v>1069704013157949440</v>
      </c>
      <c r="F1330" s="12"/>
      <c r="G1330" s="11" t="s">
        <v>4572</v>
      </c>
      <c r="H1330" s="12"/>
      <c r="I1330" s="13">
        <v>1</v>
      </c>
      <c r="J1330" s="13">
        <v>2</v>
      </c>
      <c r="K1330" s="14" t="str">
        <f t="shared" ref="K1330:K1332" si="230">HYPERLINK("http://twitter.com/download/android","Twitter for Android")</f>
        <v>Twitter for Android</v>
      </c>
      <c r="L1330" s="13">
        <v>882</v>
      </c>
      <c r="M1330" s="13">
        <v>391</v>
      </c>
      <c r="N1330" s="13">
        <v>10</v>
      </c>
      <c r="O1330" s="15"/>
      <c r="P1330" s="6">
        <v>40684.598391203705</v>
      </c>
      <c r="Q1330" s="12"/>
      <c r="R1330" s="17" t="s">
        <v>4574</v>
      </c>
      <c r="S1330" s="12"/>
      <c r="T1330" s="12"/>
      <c r="U1330" s="10" t="str">
        <f>HYPERLINK("https://pbs.twimg.com/profile_images/914908844316295168/FLOZ79qR.jpg","View")</f>
        <v>View</v>
      </c>
    </row>
    <row r="1331" spans="1:21" ht="30.6">
      <c r="A1331" s="6">
        <v>43437.931828703702</v>
      </c>
      <c r="B1331" s="7" t="str">
        <f>HYPERLINK("https://twitter.com/Jandricap","@Jandricap")</f>
        <v>@Jandricap</v>
      </c>
      <c r="C1331" s="8" t="s">
        <v>4576</v>
      </c>
      <c r="D1331" s="9" t="s">
        <v>4577</v>
      </c>
      <c r="E1331" s="10" t="str">
        <f>HYPERLINK("https://twitter.com/Jandricap/status/1069703280270413824","1069703280270413824")</f>
        <v>1069703280270413824</v>
      </c>
      <c r="F1331" s="12"/>
      <c r="G1331" s="12"/>
      <c r="H1331" s="12"/>
      <c r="I1331" s="13">
        <v>1</v>
      </c>
      <c r="J1331" s="13">
        <v>8</v>
      </c>
      <c r="K1331" s="14" t="str">
        <f t="shared" si="230"/>
        <v>Twitter for Android</v>
      </c>
      <c r="L1331" s="13">
        <v>999</v>
      </c>
      <c r="M1331" s="13">
        <v>436</v>
      </c>
      <c r="N1331" s="13">
        <v>13</v>
      </c>
      <c r="O1331" s="15"/>
      <c r="P1331" s="6">
        <v>42714.993564814809</v>
      </c>
      <c r="Q1331" s="16" t="s">
        <v>4578</v>
      </c>
      <c r="R1331" s="17" t="s">
        <v>4579</v>
      </c>
      <c r="S1331" s="12"/>
      <c r="T1331" s="12"/>
      <c r="U1331" s="10" t="str">
        <f>HYPERLINK("https://pbs.twimg.com/profile_images/1066956227974975488/14dWBI0J.jpg","View")</f>
        <v>View</v>
      </c>
    </row>
    <row r="1332" spans="1:21" ht="20.399999999999999">
      <c r="A1332" s="6">
        <v>43437.930243055554</v>
      </c>
      <c r="B1332" s="7" t="str">
        <f>HYPERLINK("https://twitter.com/fernan3ff","@fernan3ff")</f>
        <v>@fernan3ff</v>
      </c>
      <c r="C1332" s="8" t="s">
        <v>4580</v>
      </c>
      <c r="D1332" s="9" t="s">
        <v>4581</v>
      </c>
      <c r="E1332" s="10" t="str">
        <f>HYPERLINK("https://twitter.com/fernan3ff/status/1069702705466216450","1069702705466216450")</f>
        <v>1069702705466216450</v>
      </c>
      <c r="F1332" s="11" t="s">
        <v>4582</v>
      </c>
      <c r="G1332" s="12"/>
      <c r="H1332" s="12"/>
      <c r="I1332" s="13">
        <v>0</v>
      </c>
      <c r="J1332" s="13">
        <v>0</v>
      </c>
      <c r="K1332" s="14" t="str">
        <f t="shared" si="230"/>
        <v>Twitter for Android</v>
      </c>
      <c r="L1332" s="13">
        <v>117</v>
      </c>
      <c r="M1332" s="13">
        <v>93</v>
      </c>
      <c r="N1332" s="13">
        <v>1</v>
      </c>
      <c r="O1332" s="15"/>
      <c r="P1332" s="6">
        <v>42023.881238425922</v>
      </c>
      <c r="Q1332" s="12"/>
      <c r="R1332" s="17" t="s">
        <v>4583</v>
      </c>
      <c r="S1332" s="12"/>
      <c r="T1332" s="12"/>
      <c r="U1332" s="10" t="str">
        <f>HYPERLINK("https://pbs.twimg.com/profile_images/969244651734650880/NX2uQPgs.jpg","View")</f>
        <v>View</v>
      </c>
    </row>
    <row r="1333" spans="1:21" ht="51">
      <c r="A1333" s="6">
        <v>43437.927129629628</v>
      </c>
      <c r="B1333" s="7" t="str">
        <f>HYPERLINK("https://twitter.com/verne","@verne")</f>
        <v>@verne</v>
      </c>
      <c r="C1333" s="8" t="s">
        <v>4584</v>
      </c>
      <c r="D1333" s="9" t="s">
        <v>4585</v>
      </c>
      <c r="E1333" s="10" t="str">
        <f>HYPERLINK("https://twitter.com/verne/status/1069701577588523011","1069701577588523011")</f>
        <v>1069701577588523011</v>
      </c>
      <c r="F1333" s="11" t="s">
        <v>4586</v>
      </c>
      <c r="G1333" s="12"/>
      <c r="H1333" s="12"/>
      <c r="I1333" s="13">
        <v>1</v>
      </c>
      <c r="J1333" s="13">
        <v>2</v>
      </c>
      <c r="K1333" s="14" t="str">
        <f>HYPERLINK("https://www.hootsuite.com","Hootsuite Inc.")</f>
        <v>Hootsuite Inc.</v>
      </c>
      <c r="L1333" s="13">
        <v>89581</v>
      </c>
      <c r="M1333" s="13">
        <v>182</v>
      </c>
      <c r="N1333" s="13">
        <v>1273</v>
      </c>
      <c r="O1333" s="19" t="s">
        <v>44</v>
      </c>
      <c r="P1333" s="6">
        <v>39848.868761574078</v>
      </c>
      <c r="Q1333" s="12"/>
      <c r="R1333" s="17" t="s">
        <v>4587</v>
      </c>
      <c r="S1333" s="11" t="s">
        <v>4588</v>
      </c>
      <c r="T1333" s="12"/>
      <c r="U1333" s="10" t="str">
        <f>HYPERLINK("https://pbs.twimg.com/profile_images/1017072845690687488/_7ptiBSP.jpg","View")</f>
        <v>View</v>
      </c>
    </row>
    <row r="1334" spans="1:21" ht="71.400000000000006">
      <c r="A1334" s="6">
        <v>43437.925891203704</v>
      </c>
      <c r="B1334" s="7" t="str">
        <f>HYPERLINK("https://twitter.com/ManuTorresTV","@ManuTorresTV")</f>
        <v>@ManuTorresTV</v>
      </c>
      <c r="C1334" s="8" t="s">
        <v>4589</v>
      </c>
      <c r="D1334" s="9" t="s">
        <v>4590</v>
      </c>
      <c r="E1334" s="10" t="str">
        <f>HYPERLINK("https://twitter.com/ManuTorresTV/status/1069701128848330753","1069701128848330753")</f>
        <v>1069701128848330753</v>
      </c>
      <c r="F1334" s="11" t="s">
        <v>4591</v>
      </c>
      <c r="G1334" s="11" t="s">
        <v>4592</v>
      </c>
      <c r="H1334" s="12"/>
      <c r="I1334" s="13">
        <v>0</v>
      </c>
      <c r="J1334" s="13">
        <v>0</v>
      </c>
      <c r="K1334" s="14" t="str">
        <f t="shared" ref="K1334:K1336" si="231">HYPERLINK("http://twitter.com/download/android","Twitter for Android")</f>
        <v>Twitter for Android</v>
      </c>
      <c r="L1334" s="13">
        <v>2212</v>
      </c>
      <c r="M1334" s="13">
        <v>1102</v>
      </c>
      <c r="N1334" s="13">
        <v>59</v>
      </c>
      <c r="O1334" s="15"/>
      <c r="P1334" s="6">
        <v>40682.733888888892</v>
      </c>
      <c r="Q1334" s="16" t="s">
        <v>4593</v>
      </c>
      <c r="R1334" s="17" t="s">
        <v>4594</v>
      </c>
      <c r="S1334" s="12"/>
      <c r="T1334" s="12"/>
      <c r="U1334" s="10" t="str">
        <f>HYPERLINK("https://pbs.twimg.com/profile_images/846846533828009984/PcxOkg6E.jpg","View")</f>
        <v>View</v>
      </c>
    </row>
    <row r="1335" spans="1:21" ht="40.799999999999997">
      <c r="A1335" s="6">
        <v>43437.922812500001</v>
      </c>
      <c r="B1335" s="7" t="str">
        <f>HYPERLINK("https://twitter.com/Stultifer","@Stultifer")</f>
        <v>@Stultifer</v>
      </c>
      <c r="C1335" s="8" t="s">
        <v>4595</v>
      </c>
      <c r="D1335" s="9" t="s">
        <v>4596</v>
      </c>
      <c r="E1335" s="10" t="str">
        <f>HYPERLINK("https://twitter.com/Stultifer/status/1069700011162828801","1069700011162828801")</f>
        <v>1069700011162828801</v>
      </c>
      <c r="F1335" s="12"/>
      <c r="G1335" s="12"/>
      <c r="H1335" s="12"/>
      <c r="I1335" s="13">
        <v>0</v>
      </c>
      <c r="J1335" s="13">
        <v>0</v>
      </c>
      <c r="K1335" s="14" t="str">
        <f t="shared" si="231"/>
        <v>Twitter for Android</v>
      </c>
      <c r="L1335" s="13">
        <v>413</v>
      </c>
      <c r="M1335" s="13">
        <v>781</v>
      </c>
      <c r="N1335" s="13">
        <v>8</v>
      </c>
      <c r="O1335" s="15"/>
      <c r="P1335" s="6">
        <v>40860.75849537037</v>
      </c>
      <c r="Q1335" s="16" t="s">
        <v>4597</v>
      </c>
      <c r="R1335" s="17" t="s">
        <v>4598</v>
      </c>
      <c r="S1335" s="12"/>
      <c r="T1335" s="12"/>
      <c r="U1335" s="10" t="str">
        <f>HYPERLINK("https://pbs.twimg.com/profile_images/839437931630723072/hUZDMnzd.jpg","View")</f>
        <v>View</v>
      </c>
    </row>
    <row r="1336" spans="1:21" ht="30.6">
      <c r="A1336" s="6">
        <v>43437.922314814816</v>
      </c>
      <c r="B1336" s="7" t="str">
        <f>HYPERLINK("https://twitter.com/AlfredoCastello","@AlfredoCastello")</f>
        <v>@AlfredoCastello</v>
      </c>
      <c r="C1336" s="8" t="s">
        <v>4599</v>
      </c>
      <c r="D1336" s="9" t="s">
        <v>4600</v>
      </c>
      <c r="E1336" s="10" t="str">
        <f>HYPERLINK("https://twitter.com/AlfredoCastello/status/1069699832162476037","1069699832162476037")</f>
        <v>1069699832162476037</v>
      </c>
      <c r="F1336" s="12"/>
      <c r="G1336" s="11" t="s">
        <v>4601</v>
      </c>
      <c r="H1336" s="12"/>
      <c r="I1336" s="13">
        <v>0</v>
      </c>
      <c r="J1336" s="13">
        <v>1</v>
      </c>
      <c r="K1336" s="14" t="str">
        <f t="shared" si="231"/>
        <v>Twitter for Android</v>
      </c>
      <c r="L1336" s="13">
        <v>355</v>
      </c>
      <c r="M1336" s="13">
        <v>171</v>
      </c>
      <c r="N1336" s="13">
        <v>12</v>
      </c>
      <c r="O1336" s="15"/>
      <c r="P1336" s="6">
        <v>40138.702881944446</v>
      </c>
      <c r="Q1336" s="16" t="s">
        <v>4602</v>
      </c>
      <c r="R1336" s="17" t="s">
        <v>4603</v>
      </c>
      <c r="S1336" s="12"/>
      <c r="T1336" s="12"/>
      <c r="U1336" s="10" t="str">
        <f>HYPERLINK("https://pbs.twimg.com/profile_images/1049435738662678528/Fr_pbcQX.jpg","View")</f>
        <v>View</v>
      </c>
    </row>
    <row r="1337" spans="1:21" ht="30.6">
      <c r="A1337" s="6">
        <v>43437.921527777777</v>
      </c>
      <c r="B1337" s="7" t="str">
        <f>HYPERLINK("https://twitter.com/CatalanAnalyst","@CatalanAnalyst")</f>
        <v>@CatalanAnalyst</v>
      </c>
      <c r="C1337" s="8" t="s">
        <v>4604</v>
      </c>
      <c r="D1337" s="9" t="s">
        <v>4489</v>
      </c>
      <c r="E1337" s="10" t="str">
        <f>HYPERLINK("https://twitter.com/CatalanAnalyst/status/1069699546601713667","1069699546601713667")</f>
        <v>1069699546601713667</v>
      </c>
      <c r="F1337" s="11" t="s">
        <v>4093</v>
      </c>
      <c r="G1337" s="12"/>
      <c r="H1337" s="12"/>
      <c r="I1337" s="13">
        <v>0</v>
      </c>
      <c r="J1337" s="13">
        <v>0</v>
      </c>
      <c r="K1337" s="14" t="str">
        <f>HYPERLINK("http://twitter.com","Twitter Web Client")</f>
        <v>Twitter Web Client</v>
      </c>
      <c r="L1337" s="13">
        <v>1559</v>
      </c>
      <c r="M1337" s="13">
        <v>1063</v>
      </c>
      <c r="N1337" s="13">
        <v>56</v>
      </c>
      <c r="O1337" s="15"/>
      <c r="P1337" s="6">
        <v>42228.675289351857</v>
      </c>
      <c r="Q1337" s="16" t="s">
        <v>4605</v>
      </c>
      <c r="R1337" s="28" t="s">
        <v>4606</v>
      </c>
      <c r="S1337" s="11" t="s">
        <v>4607</v>
      </c>
      <c r="T1337" s="12"/>
      <c r="U1337" s="10" t="str">
        <f>HYPERLINK("https://pbs.twimg.com/profile_images/672374611246452738/oM1fXmFA.jpg","View")</f>
        <v>View</v>
      </c>
    </row>
    <row r="1338" spans="1:21" ht="51">
      <c r="A1338" s="6">
        <v>43437.920231481483</v>
      </c>
      <c r="B1338" s="7" t="str">
        <f>HYPERLINK("https://twitter.com/SirFrancis84","@SirFrancis84")</f>
        <v>@SirFrancis84</v>
      </c>
      <c r="C1338" s="8" t="s">
        <v>4608</v>
      </c>
      <c r="D1338" s="9" t="s">
        <v>4609</v>
      </c>
      <c r="E1338" s="10" t="str">
        <f>HYPERLINK("https://twitter.com/SirFrancis84/status/1069699076294434816","1069699076294434816")</f>
        <v>1069699076294434816</v>
      </c>
      <c r="F1338" s="12"/>
      <c r="G1338" s="12"/>
      <c r="H1338" s="12"/>
      <c r="I1338" s="13">
        <v>0</v>
      </c>
      <c r="J1338" s="13">
        <v>0</v>
      </c>
      <c r="K1338" s="14" t="str">
        <f t="shared" ref="K1338:K1341" si="232">HYPERLINK("http://twitter.com/download/android","Twitter for Android")</f>
        <v>Twitter for Android</v>
      </c>
      <c r="L1338" s="13">
        <v>299</v>
      </c>
      <c r="M1338" s="13">
        <v>859</v>
      </c>
      <c r="N1338" s="13">
        <v>4</v>
      </c>
      <c r="O1338" s="15"/>
      <c r="P1338" s="6">
        <v>41205.03266203704</v>
      </c>
      <c r="Q1338" s="16" t="s">
        <v>328</v>
      </c>
      <c r="R1338" s="17" t="s">
        <v>4610</v>
      </c>
      <c r="S1338" s="12"/>
      <c r="T1338" s="12"/>
      <c r="U1338" s="10" t="str">
        <f>HYPERLINK("https://pbs.twimg.com/profile_images/920356673432293376/vFaTeRHJ.jpg","View")</f>
        <v>View</v>
      </c>
    </row>
    <row r="1339" spans="1:21" ht="40.799999999999997">
      <c r="A1339" s="6">
        <v>43437.917337962965</v>
      </c>
      <c r="B1339" s="7" t="str">
        <f>HYPERLINK("https://twitter.com/pobretspebrots","@pobretspebrots")</f>
        <v>@pobretspebrots</v>
      </c>
      <c r="C1339" s="8" t="s">
        <v>4611</v>
      </c>
      <c r="D1339" s="9" t="s">
        <v>4612</v>
      </c>
      <c r="E1339" s="10" t="str">
        <f>HYPERLINK("https://twitter.com/pobretspebrots/status/1069698026640412673","1069698026640412673")</f>
        <v>1069698026640412673</v>
      </c>
      <c r="F1339" s="12"/>
      <c r="G1339" s="12"/>
      <c r="H1339" s="12"/>
      <c r="I1339" s="13">
        <v>0</v>
      </c>
      <c r="J1339" s="13">
        <v>0</v>
      </c>
      <c r="K1339" s="14" t="str">
        <f t="shared" si="232"/>
        <v>Twitter for Android</v>
      </c>
      <c r="L1339" s="13">
        <v>37</v>
      </c>
      <c r="M1339" s="13">
        <v>173</v>
      </c>
      <c r="N1339" s="13">
        <v>0</v>
      </c>
      <c r="O1339" s="15"/>
      <c r="P1339" s="6">
        <v>43016.578148148154</v>
      </c>
      <c r="Q1339" s="12"/>
      <c r="R1339" s="17" t="s">
        <v>4613</v>
      </c>
      <c r="S1339" s="12"/>
      <c r="T1339" s="12"/>
      <c r="U1339" s="10" t="str">
        <f>HYPERLINK("https://pbs.twimg.com/profile_images/916998698323898368/sIBJEEPF.jpg","View")</f>
        <v>View</v>
      </c>
    </row>
    <row r="1340" spans="1:21" ht="40.799999999999997">
      <c r="A1340" s="6">
        <v>43437.91710648148</v>
      </c>
      <c r="B1340" s="7" t="str">
        <f>HYPERLINK("https://twitter.com/jesusmorlop13","@jesusmorlop13")</f>
        <v>@jesusmorlop13</v>
      </c>
      <c r="C1340" s="8" t="s">
        <v>4614</v>
      </c>
      <c r="D1340" s="9" t="s">
        <v>4615</v>
      </c>
      <c r="E1340" s="10" t="str">
        <f>HYPERLINK("https://twitter.com/jesusmorlop13/status/1069697942733361154","1069697942733361154")</f>
        <v>1069697942733361154</v>
      </c>
      <c r="F1340" s="12"/>
      <c r="G1340" s="12"/>
      <c r="H1340" s="12"/>
      <c r="I1340" s="13">
        <v>0</v>
      </c>
      <c r="J1340" s="13">
        <v>0</v>
      </c>
      <c r="K1340" s="14" t="str">
        <f t="shared" si="232"/>
        <v>Twitter for Android</v>
      </c>
      <c r="L1340" s="13">
        <v>33</v>
      </c>
      <c r="M1340" s="13">
        <v>47</v>
      </c>
      <c r="N1340" s="13">
        <v>0</v>
      </c>
      <c r="O1340" s="15"/>
      <c r="P1340" s="6">
        <v>42647.935011574074</v>
      </c>
      <c r="Q1340" s="12"/>
      <c r="R1340" s="20"/>
      <c r="S1340" s="12"/>
      <c r="T1340" s="12"/>
      <c r="U1340" s="10" t="str">
        <f>HYPERLINK("https://pbs.twimg.com/profile_images/1067080927078227968/GorweF4E.jpg","View")</f>
        <v>View</v>
      </c>
    </row>
    <row r="1341" spans="1:21" ht="13.2">
      <c r="A1341" s="6">
        <v>43437.916701388887</v>
      </c>
      <c r="B1341" s="7" t="str">
        <f>HYPERLINK("https://twitter.com/IanLannister","@IanLannister")</f>
        <v>@IanLannister</v>
      </c>
      <c r="C1341" s="8" t="s">
        <v>4616</v>
      </c>
      <c r="D1341" s="9" t="s">
        <v>4617</v>
      </c>
      <c r="E1341" s="10" t="str">
        <f>HYPERLINK("https://twitter.com/IanLannister/status/1069697798810034177","1069697798810034177")</f>
        <v>1069697798810034177</v>
      </c>
      <c r="F1341" s="12"/>
      <c r="G1341" s="12"/>
      <c r="H1341" s="12"/>
      <c r="I1341" s="13">
        <v>0</v>
      </c>
      <c r="J1341" s="13">
        <v>1</v>
      </c>
      <c r="K1341" s="14" t="str">
        <f t="shared" si="232"/>
        <v>Twitter for Android</v>
      </c>
      <c r="L1341" s="13">
        <v>1147</v>
      </c>
      <c r="M1341" s="13">
        <v>298</v>
      </c>
      <c r="N1341" s="13">
        <v>16</v>
      </c>
      <c r="O1341" s="15"/>
      <c r="P1341" s="6">
        <v>42165.700833333336</v>
      </c>
      <c r="Q1341" s="16" t="s">
        <v>4618</v>
      </c>
      <c r="R1341" s="17" t="s">
        <v>4619</v>
      </c>
      <c r="S1341" s="11" t="s">
        <v>4620</v>
      </c>
      <c r="T1341" s="12"/>
      <c r="U1341" s="10" t="str">
        <f>HYPERLINK("https://pbs.twimg.com/profile_images/1069255420672393216/9CGcZtbP.jpg","View")</f>
        <v>View</v>
      </c>
    </row>
    <row r="1342" spans="1:21" ht="51">
      <c r="A1342" s="6">
        <v>43437.916562500002</v>
      </c>
      <c r="B1342" s="7" t="str">
        <f>HYPERLINK("https://twitter.com/carmenpousa00","@carmenpousa00")</f>
        <v>@carmenpousa00</v>
      </c>
      <c r="C1342" s="8" t="s">
        <v>4621</v>
      </c>
      <c r="D1342" s="9" t="s">
        <v>4622</v>
      </c>
      <c r="E1342" s="10" t="str">
        <f>HYPERLINK("https://twitter.com/carmenpousa00/status/1069697747526275072","1069697747526275072")</f>
        <v>1069697747526275072</v>
      </c>
      <c r="F1342" s="16" t="s">
        <v>4623</v>
      </c>
      <c r="G1342" s="12"/>
      <c r="H1342" s="12"/>
      <c r="I1342" s="13">
        <v>0</v>
      </c>
      <c r="J1342" s="13">
        <v>0</v>
      </c>
      <c r="K1342" s="14" t="str">
        <f>HYPERLINK("http://twitter.com/download/iphone","Twitter for iPhone")</f>
        <v>Twitter for iPhone</v>
      </c>
      <c r="L1342" s="13">
        <v>458</v>
      </c>
      <c r="M1342" s="13">
        <v>528</v>
      </c>
      <c r="N1342" s="13">
        <v>1</v>
      </c>
      <c r="O1342" s="15"/>
      <c r="P1342" s="6">
        <v>41293.615185185183</v>
      </c>
      <c r="Q1342" s="16" t="s">
        <v>4624</v>
      </c>
      <c r="R1342" s="17" t="s">
        <v>4625</v>
      </c>
      <c r="S1342" s="12"/>
      <c r="T1342" s="12"/>
      <c r="U1342" s="10" t="str">
        <f>HYPERLINK("https://pbs.twimg.com/profile_images/1066998699954454528/dM7oY192.jpg","View")</f>
        <v>View</v>
      </c>
    </row>
    <row r="1343" spans="1:21" ht="30.6">
      <c r="A1343" s="6">
        <v>43437.907650462963</v>
      </c>
      <c r="B1343" s="7" t="str">
        <f>HYPERLINK("https://twitter.com/COPE","@COPE")</f>
        <v>@COPE</v>
      </c>
      <c r="C1343" s="8" t="s">
        <v>3812</v>
      </c>
      <c r="D1343" s="9" t="s">
        <v>4627</v>
      </c>
      <c r="E1343" s="10" t="str">
        <f>HYPERLINK("https://twitter.com/COPE/status/1069694518704910337","1069694518704910337")</f>
        <v>1069694518704910337</v>
      </c>
      <c r="F1343" s="11" t="s">
        <v>4628</v>
      </c>
      <c r="G1343" s="12"/>
      <c r="H1343" s="12"/>
      <c r="I1343" s="13">
        <v>2</v>
      </c>
      <c r="J1343" s="13">
        <v>4</v>
      </c>
      <c r="K1343" s="14" t="str">
        <f>HYPERLINK("http://dogtrack.es","DogTrack_Oficial")</f>
        <v>DogTrack_Oficial</v>
      </c>
      <c r="L1343" s="13">
        <v>354193</v>
      </c>
      <c r="M1343" s="13">
        <v>150</v>
      </c>
      <c r="N1343" s="13">
        <v>3095</v>
      </c>
      <c r="O1343" s="19" t="s">
        <v>44</v>
      </c>
      <c r="P1343" s="6">
        <v>39381.538321759261</v>
      </c>
      <c r="Q1343" s="16" t="s">
        <v>30</v>
      </c>
      <c r="R1343" s="17" t="s">
        <v>3818</v>
      </c>
      <c r="S1343" s="11" t="s">
        <v>3819</v>
      </c>
      <c r="T1343" s="12"/>
      <c r="U1343" s="10" t="str">
        <f>HYPERLINK("https://pbs.twimg.com/profile_images/1063097716031533059/yAe1j-56.jpg","View")</f>
        <v>View</v>
      </c>
    </row>
    <row r="1344" spans="1:21" ht="51">
      <c r="A1344" s="6">
        <v>43437.906284722223</v>
      </c>
      <c r="B1344" s="7" t="str">
        <f>HYPERLINK("https://twitter.com/JUAN032402","@JUAN032402")</f>
        <v>@JUAN032402</v>
      </c>
      <c r="C1344" s="8" t="s">
        <v>4198</v>
      </c>
      <c r="D1344" s="9" t="s">
        <v>4630</v>
      </c>
      <c r="E1344" s="10" t="str">
        <f>HYPERLINK("https://twitter.com/JUAN032402/status/1069694022778802177","1069694022778802177")</f>
        <v>1069694022778802177</v>
      </c>
      <c r="F1344" s="12"/>
      <c r="G1344" s="12"/>
      <c r="H1344" s="12"/>
      <c r="I1344" s="13">
        <v>0</v>
      </c>
      <c r="J1344" s="13">
        <v>0</v>
      </c>
      <c r="K1344" s="14" t="str">
        <f>HYPERLINK("https://mobile.twitter.com","Twitter Lite")</f>
        <v>Twitter Lite</v>
      </c>
      <c r="L1344" s="13">
        <v>70</v>
      </c>
      <c r="M1344" s="13">
        <v>105</v>
      </c>
      <c r="N1344" s="13">
        <v>2</v>
      </c>
      <c r="O1344" s="15"/>
      <c r="P1344" s="6">
        <v>41699.489537037036</v>
      </c>
      <c r="Q1344" s="12"/>
      <c r="R1344" s="20"/>
      <c r="S1344" s="12"/>
      <c r="T1344" s="12"/>
      <c r="U1344" s="10" t="str">
        <f>HYPERLINK("https://pbs.twimg.com/profile_images/439721605988483072/cn08ZCiP.jpeg","View")</f>
        <v>View</v>
      </c>
    </row>
    <row r="1345" spans="1:21" ht="30.6">
      <c r="A1345" s="6">
        <v>43437.906284722223</v>
      </c>
      <c r="B1345" s="7" t="str">
        <f>HYPERLINK("https://twitter.com/melacoges","@melacoges")</f>
        <v>@melacoges</v>
      </c>
      <c r="C1345" s="8" t="s">
        <v>4631</v>
      </c>
      <c r="D1345" s="9" t="s">
        <v>4632</v>
      </c>
      <c r="E1345" s="10" t="str">
        <f>HYPERLINK("https://twitter.com/melacoges/status/1069694022149685249","1069694022149685249")</f>
        <v>1069694022149685249</v>
      </c>
      <c r="F1345" s="12"/>
      <c r="G1345" s="12"/>
      <c r="H1345" s="12"/>
      <c r="I1345" s="13">
        <v>0</v>
      </c>
      <c r="J1345" s="13">
        <v>0</v>
      </c>
      <c r="K1345" s="14" t="str">
        <f t="shared" ref="K1345:K1346" si="233">HYPERLINK("http://twitter.com/download/android","Twitter for Android")</f>
        <v>Twitter for Android</v>
      </c>
      <c r="L1345" s="13">
        <v>49</v>
      </c>
      <c r="M1345" s="13">
        <v>148</v>
      </c>
      <c r="N1345" s="13">
        <v>0</v>
      </c>
      <c r="O1345" s="15"/>
      <c r="P1345" s="6">
        <v>41336.758402777778</v>
      </c>
      <c r="Q1345" s="12"/>
      <c r="R1345" s="17" t="s">
        <v>4633</v>
      </c>
      <c r="S1345" s="12"/>
      <c r="T1345" s="12"/>
      <c r="U1345" s="10" t="str">
        <f>HYPERLINK("https://pbs.twimg.com/profile_images/3643080877/bbfcfba095dcc455d75d120be593e858.jpeg","View")</f>
        <v>View</v>
      </c>
    </row>
    <row r="1346" spans="1:21" ht="40.799999999999997">
      <c r="A1346" s="6">
        <v>43437.904085648144</v>
      </c>
      <c r="B1346" s="7" t="str">
        <f>HYPERLINK("https://twitter.com/Mesalina3","@Mesalina3")</f>
        <v>@Mesalina3</v>
      </c>
      <c r="C1346" s="8" t="s">
        <v>4634</v>
      </c>
      <c r="D1346" s="9" t="s">
        <v>4635</v>
      </c>
      <c r="E1346" s="10" t="str">
        <f>HYPERLINK("https://twitter.com/Mesalina3/status/1069693227123515392","1069693227123515392")</f>
        <v>1069693227123515392</v>
      </c>
      <c r="F1346" s="12"/>
      <c r="G1346" s="12"/>
      <c r="H1346" s="12"/>
      <c r="I1346" s="13">
        <v>0</v>
      </c>
      <c r="J1346" s="13">
        <v>0</v>
      </c>
      <c r="K1346" s="14" t="str">
        <f t="shared" si="233"/>
        <v>Twitter for Android</v>
      </c>
      <c r="L1346" s="13">
        <v>371</v>
      </c>
      <c r="M1346" s="13">
        <v>380</v>
      </c>
      <c r="N1346" s="13">
        <v>10</v>
      </c>
      <c r="O1346" s="15"/>
      <c r="P1346" s="6">
        <v>40902.960312499999</v>
      </c>
      <c r="Q1346" s="16" t="s">
        <v>4636</v>
      </c>
      <c r="R1346" s="17" t="s">
        <v>4637</v>
      </c>
      <c r="S1346" s="12"/>
      <c r="T1346" s="12"/>
      <c r="U1346" s="10" t="str">
        <f>HYPERLINK("https://pbs.twimg.com/profile_images/929310295771811840/1n7J9Cj7.jpg","View")</f>
        <v>View</v>
      </c>
    </row>
    <row r="1347" spans="1:21" ht="40.799999999999997">
      <c r="A1347" s="6">
        <v>43437.902118055557</v>
      </c>
      <c r="B1347" s="7" t="str">
        <f>HYPERLINK("https://twitter.com/martinidemar","@martinidemar")</f>
        <v>@martinidemar</v>
      </c>
      <c r="C1347" s="8" t="s">
        <v>4638</v>
      </c>
      <c r="D1347" s="9" t="s">
        <v>4489</v>
      </c>
      <c r="E1347" s="10" t="str">
        <f>HYPERLINK("https://twitter.com/martinidemar/status/1069692510375694336","1069692510375694336")</f>
        <v>1069692510375694336</v>
      </c>
      <c r="F1347" s="11" t="s">
        <v>4093</v>
      </c>
      <c r="G1347" s="12"/>
      <c r="H1347" s="12"/>
      <c r="I1347" s="13">
        <v>0</v>
      </c>
      <c r="J1347" s="13">
        <v>0</v>
      </c>
      <c r="K1347" s="14" t="str">
        <f t="shared" ref="K1347:K1348" si="234">HYPERLINK("http://twitter.com","Twitter Web Client")</f>
        <v>Twitter Web Client</v>
      </c>
      <c r="L1347" s="13">
        <v>9986</v>
      </c>
      <c r="M1347" s="13">
        <v>2428</v>
      </c>
      <c r="N1347" s="13">
        <v>416</v>
      </c>
      <c r="O1347" s="15"/>
      <c r="P1347" s="6">
        <v>40522.434224537035</v>
      </c>
      <c r="Q1347" s="16" t="s">
        <v>4639</v>
      </c>
      <c r="R1347" s="17" t="s">
        <v>4640</v>
      </c>
      <c r="S1347" s="11" t="s">
        <v>4641</v>
      </c>
      <c r="T1347" s="12"/>
      <c r="U1347" s="10" t="str">
        <f>HYPERLINK("https://pbs.twimg.com/profile_images/1043116090618986496/14zPiSFt.jpg","View")</f>
        <v>View</v>
      </c>
    </row>
    <row r="1348" spans="1:21" ht="81.599999999999994">
      <c r="A1348" s="6">
        <v>43437.90115740741</v>
      </c>
      <c r="B1348" s="7" t="str">
        <f>HYPERLINK("https://twitter.com/JotaPGalindo","@JotaPGalindo")</f>
        <v>@JotaPGalindo</v>
      </c>
      <c r="C1348" s="8" t="s">
        <v>4642</v>
      </c>
      <c r="D1348" s="9" t="s">
        <v>4643</v>
      </c>
      <c r="E1348" s="10" t="str">
        <f>HYPERLINK("https://twitter.com/JotaPGalindo/status/1069692165599739909","1069692165599739909")</f>
        <v>1069692165599739909</v>
      </c>
      <c r="F1348" s="16" t="s">
        <v>4644</v>
      </c>
      <c r="G1348" s="12"/>
      <c r="H1348" s="12"/>
      <c r="I1348" s="13">
        <v>0</v>
      </c>
      <c r="J1348" s="13">
        <v>3</v>
      </c>
      <c r="K1348" s="14" t="str">
        <f t="shared" si="234"/>
        <v>Twitter Web Client</v>
      </c>
      <c r="L1348" s="13">
        <v>1418</v>
      </c>
      <c r="M1348" s="13">
        <v>607</v>
      </c>
      <c r="N1348" s="13">
        <v>16</v>
      </c>
      <c r="O1348" s="15"/>
      <c r="P1348" s="6">
        <v>40872.563333333332</v>
      </c>
      <c r="Q1348" s="16" t="s">
        <v>4645</v>
      </c>
      <c r="R1348" s="17" t="s">
        <v>4646</v>
      </c>
      <c r="S1348" s="12"/>
      <c r="T1348" s="12"/>
      <c r="U1348" s="10" t="str">
        <f>HYPERLINK("https://pbs.twimg.com/profile_images/1006473849767124992/2--2bh3x.jpg","View")</f>
        <v>View</v>
      </c>
    </row>
    <row r="1349" spans="1:21" ht="51">
      <c r="A1349" s="6">
        <v>43437.900787037041</v>
      </c>
      <c r="B1349" s="7" t="str">
        <f>HYPERLINK("https://twitter.com/AngelQuintian","@AngelQuintian")</f>
        <v>@AngelQuintian</v>
      </c>
      <c r="C1349" s="8" t="s">
        <v>4647</v>
      </c>
      <c r="D1349" s="9" t="s">
        <v>4648</v>
      </c>
      <c r="E1349" s="10" t="str">
        <f>HYPERLINK("https://twitter.com/AngelQuintian/status/1069692029448454148","1069692029448454148")</f>
        <v>1069692029448454148</v>
      </c>
      <c r="F1349" s="12"/>
      <c r="G1349" s="12"/>
      <c r="H1349" s="12"/>
      <c r="I1349" s="13">
        <v>0</v>
      </c>
      <c r="J1349" s="13">
        <v>0</v>
      </c>
      <c r="K1349" s="14" t="str">
        <f>HYPERLINK("http://twitter.com/download/android","Twitter for Android")</f>
        <v>Twitter for Android</v>
      </c>
      <c r="L1349" s="13">
        <v>10</v>
      </c>
      <c r="M1349" s="13">
        <v>28</v>
      </c>
      <c r="N1349" s="13">
        <v>0</v>
      </c>
      <c r="O1349" s="15"/>
      <c r="P1349" s="6">
        <v>42773.018032407403</v>
      </c>
      <c r="Q1349" s="16" t="s">
        <v>1573</v>
      </c>
      <c r="R1349" s="20"/>
      <c r="S1349" s="12"/>
      <c r="T1349" s="12"/>
      <c r="U1349" s="10" t="str">
        <f>HYPERLINK("https://pbs.twimg.com/profile_images/829258135185588225/bimDGwQi.jpg","View")</f>
        <v>View</v>
      </c>
    </row>
    <row r="1350" spans="1:21" ht="40.799999999999997">
      <c r="A1350" s="6">
        <v>43437.897245370375</v>
      </c>
      <c r="B1350" s="7" t="str">
        <f>HYPERLINK("https://twitter.com/TheObjective_es","@TheObjective_es")</f>
        <v>@TheObjective_es</v>
      </c>
      <c r="C1350" s="8" t="s">
        <v>83</v>
      </c>
      <c r="D1350" s="9" t="s">
        <v>2677</v>
      </c>
      <c r="E1350" s="10" t="str">
        <f>HYPERLINK("https://twitter.com/TheObjective_es/status/1069690747442614273","1069690747442614273")</f>
        <v>1069690747442614273</v>
      </c>
      <c r="F1350" s="11" t="s">
        <v>2678</v>
      </c>
      <c r="G1350" s="11" t="s">
        <v>4649</v>
      </c>
      <c r="H1350" s="12"/>
      <c r="I1350" s="13">
        <v>1</v>
      </c>
      <c r="J1350" s="13">
        <v>0</v>
      </c>
      <c r="K1350" s="14" t="str">
        <f>HYPERLINK("https://buffer.com","Buffer")</f>
        <v>Buffer</v>
      </c>
      <c r="L1350" s="13">
        <v>50878</v>
      </c>
      <c r="M1350" s="13">
        <v>704</v>
      </c>
      <c r="N1350" s="13">
        <v>1225</v>
      </c>
      <c r="O1350" s="15"/>
      <c r="P1350" s="6">
        <v>41473.393935185188</v>
      </c>
      <c r="Q1350" s="16" t="s">
        <v>86</v>
      </c>
      <c r="R1350" s="17" t="s">
        <v>87</v>
      </c>
      <c r="S1350" s="11" t="s">
        <v>88</v>
      </c>
      <c r="T1350" s="12"/>
      <c r="U1350" s="10" t="str">
        <f>HYPERLINK("https://pbs.twimg.com/profile_images/996760534082117632/umqvtWL2.jpg","View")</f>
        <v>View</v>
      </c>
    </row>
    <row r="1351" spans="1:21" ht="20.399999999999999">
      <c r="A1351" s="6">
        <v>43437.891898148147</v>
      </c>
      <c r="B1351" s="7" t="str">
        <f>HYPERLINK("https://twitter.com/sharicrespi1","@sharicrespi1")</f>
        <v>@sharicrespi1</v>
      </c>
      <c r="C1351" s="8" t="s">
        <v>4650</v>
      </c>
      <c r="D1351" s="9" t="s">
        <v>4651</v>
      </c>
      <c r="E1351" s="10" t="str">
        <f>HYPERLINK("https://twitter.com/sharicrespi1/status/1069688809149870080","1069688809149870080")</f>
        <v>1069688809149870080</v>
      </c>
      <c r="F1351" s="11" t="s">
        <v>4652</v>
      </c>
      <c r="G1351" s="11" t="s">
        <v>4653</v>
      </c>
      <c r="H1351" s="12"/>
      <c r="I1351" s="13">
        <v>0</v>
      </c>
      <c r="J1351" s="13">
        <v>0</v>
      </c>
      <c r="K1351" s="14" t="str">
        <f>HYPERLINK("http://twitter.com/download/iphone","Twitter for iPhone")</f>
        <v>Twitter for iPhone</v>
      </c>
      <c r="L1351" s="13">
        <v>53</v>
      </c>
      <c r="M1351" s="13">
        <v>79</v>
      </c>
      <c r="N1351" s="13">
        <v>0</v>
      </c>
      <c r="O1351" s="15"/>
      <c r="P1351" s="6">
        <v>43104.68818287037</v>
      </c>
      <c r="Q1351" s="16" t="s">
        <v>4654</v>
      </c>
      <c r="R1351" s="17" t="s">
        <v>4655</v>
      </c>
      <c r="S1351" s="12"/>
      <c r="T1351" s="12"/>
      <c r="U1351" s="10" t="str">
        <f>HYPERLINK("https://pbs.twimg.com/profile_images/1040279373163716608/GEG-s-0H.jpg","View")</f>
        <v>View</v>
      </c>
    </row>
    <row r="1352" spans="1:21" ht="40.799999999999997">
      <c r="A1352" s="6">
        <v>43437.890648148154</v>
      </c>
      <c r="B1352" s="7" t="str">
        <f>HYPERLINK("https://twitter.com/juanjoband24","@juanjoband24")</f>
        <v>@juanjoband24</v>
      </c>
      <c r="C1352" s="8" t="s">
        <v>4656</v>
      </c>
      <c r="D1352" s="9" t="s">
        <v>4657</v>
      </c>
      <c r="E1352" s="10" t="str">
        <f>HYPERLINK("https://twitter.com/juanjoband24/status/1069688356924256258","1069688356924256258")</f>
        <v>1069688356924256258</v>
      </c>
      <c r="F1352" s="12"/>
      <c r="G1352" s="12"/>
      <c r="H1352" s="12"/>
      <c r="I1352" s="13">
        <v>2</v>
      </c>
      <c r="J1352" s="13">
        <v>1</v>
      </c>
      <c r="K1352" s="14" t="str">
        <f>HYPERLINK("http://twitter.com/download/android","Twitter for Android")</f>
        <v>Twitter for Android</v>
      </c>
      <c r="L1352" s="13">
        <v>2130</v>
      </c>
      <c r="M1352" s="13">
        <v>992</v>
      </c>
      <c r="N1352" s="13">
        <v>13</v>
      </c>
      <c r="O1352" s="15"/>
      <c r="P1352" s="6">
        <v>40844.696689814817</v>
      </c>
      <c r="Q1352" s="16" t="s">
        <v>4658</v>
      </c>
      <c r="R1352" s="28" t="s">
        <v>4659</v>
      </c>
      <c r="S1352" s="12"/>
      <c r="T1352" s="12"/>
      <c r="U1352" s="10" t="str">
        <f>HYPERLINK("https://pbs.twimg.com/profile_images/1031236136675491840/ZxteYaNT.jpg","View")</f>
        <v>View</v>
      </c>
    </row>
    <row r="1353" spans="1:21" ht="40.799999999999997">
      <c r="A1353" s="6">
        <v>43437.889918981484</v>
      </c>
      <c r="B1353" s="7" t="str">
        <f>HYPERLINK("https://twitter.com/cultrun","@cultrun")</f>
        <v>@cultrun</v>
      </c>
      <c r="C1353" s="8" t="s">
        <v>4660</v>
      </c>
      <c r="D1353" s="9" t="s">
        <v>4489</v>
      </c>
      <c r="E1353" s="10" t="str">
        <f>HYPERLINK("https://twitter.com/cultrun/status/1069688092813156352","1069688092813156352")</f>
        <v>1069688092813156352</v>
      </c>
      <c r="F1353" s="11" t="s">
        <v>4093</v>
      </c>
      <c r="G1353" s="12"/>
      <c r="H1353" s="12"/>
      <c r="I1353" s="13">
        <v>4</v>
      </c>
      <c r="J1353" s="13">
        <v>5</v>
      </c>
      <c r="K1353" s="14" t="str">
        <f>HYPERLINK("http://twitter.com/download/iphone","Twitter for iPhone")</f>
        <v>Twitter for iPhone</v>
      </c>
      <c r="L1353" s="13">
        <v>48995</v>
      </c>
      <c r="M1353" s="13">
        <v>2886</v>
      </c>
      <c r="N1353" s="13">
        <v>1281</v>
      </c>
      <c r="O1353" s="15"/>
      <c r="P1353" s="6">
        <v>39861.860497685186</v>
      </c>
      <c r="Q1353" s="16" t="s">
        <v>4661</v>
      </c>
      <c r="R1353" s="17" t="s">
        <v>4662</v>
      </c>
      <c r="S1353" s="11" t="s">
        <v>4663</v>
      </c>
      <c r="T1353" s="12"/>
      <c r="U1353" s="10" t="str">
        <f>HYPERLINK("https://pbs.twimg.com/profile_images/1017450243917598720/d4pMoQHM.jpg","View")</f>
        <v>View</v>
      </c>
    </row>
    <row r="1354" spans="1:21" ht="40.799999999999997">
      <c r="A1354" s="6">
        <v>43437.888842592598</v>
      </c>
      <c r="B1354" s="7" t="str">
        <f>HYPERLINK("https://twitter.com/albertnerviorot","@albertnerviorot")</f>
        <v>@albertnerviorot</v>
      </c>
      <c r="C1354" s="8" t="s">
        <v>4664</v>
      </c>
      <c r="D1354" s="9" t="s">
        <v>4665</v>
      </c>
      <c r="E1354" s="10" t="str">
        <f>HYPERLINK("https://twitter.com/albertnerviorot/status/1069687701174132736","1069687701174132736")</f>
        <v>1069687701174132736</v>
      </c>
      <c r="F1354" s="12"/>
      <c r="G1354" s="12"/>
      <c r="H1354" s="12"/>
      <c r="I1354" s="13">
        <v>29</v>
      </c>
      <c r="J1354" s="13">
        <v>65</v>
      </c>
      <c r="K1354" s="14" t="str">
        <f>HYPERLINK("http://twitter.com/download/android","Twitter for Android")</f>
        <v>Twitter for Android</v>
      </c>
      <c r="L1354" s="13">
        <v>10536</v>
      </c>
      <c r="M1354" s="13">
        <v>5418</v>
      </c>
      <c r="N1354" s="13">
        <v>26</v>
      </c>
      <c r="O1354" s="15"/>
      <c r="P1354" s="6">
        <v>40604.775266203702</v>
      </c>
      <c r="Q1354" s="16" t="s">
        <v>4666</v>
      </c>
      <c r="R1354" s="17" t="s">
        <v>4667</v>
      </c>
      <c r="S1354" s="12"/>
      <c r="T1354" s="12"/>
      <c r="U1354" s="10" t="str">
        <f>HYPERLINK("https://pbs.twimg.com/profile_images/1066617148557148160/QOIvthTZ.jpg","View")</f>
        <v>View</v>
      </c>
    </row>
    <row r="1355" spans="1:21" ht="20.399999999999999">
      <c r="A1355" s="6">
        <v>43437.888101851851</v>
      </c>
      <c r="B1355" s="7" t="str">
        <f>HYPERLINK("https://twitter.com/0662f","@0662f")</f>
        <v>@0662f</v>
      </c>
      <c r="C1355" s="8" t="s">
        <v>4668</v>
      </c>
      <c r="D1355" s="9" t="s">
        <v>4669</v>
      </c>
      <c r="E1355" s="10" t="str">
        <f>HYPERLINK("https://twitter.com/0662f/status/1069687434286379008","1069687434286379008")</f>
        <v>1069687434286379008</v>
      </c>
      <c r="F1355" s="11" t="s">
        <v>4428</v>
      </c>
      <c r="G1355" s="12"/>
      <c r="H1355" s="12"/>
      <c r="I1355" s="13">
        <v>0</v>
      </c>
      <c r="J1355" s="13">
        <v>0</v>
      </c>
      <c r="K1355" s="14" t="str">
        <f>HYPERLINK("http://www.facebook.com/twitter","Facebook")</f>
        <v>Facebook</v>
      </c>
      <c r="L1355" s="13">
        <v>166</v>
      </c>
      <c r="M1355" s="13">
        <v>266</v>
      </c>
      <c r="N1355" s="13">
        <v>12</v>
      </c>
      <c r="O1355" s="15"/>
      <c r="P1355" s="6">
        <v>40252.709988425922</v>
      </c>
      <c r="Q1355" s="16" t="s">
        <v>4670</v>
      </c>
      <c r="R1355" s="17" t="s">
        <v>4671</v>
      </c>
      <c r="S1355" s="12"/>
      <c r="T1355" s="12"/>
      <c r="U1355" s="10" t="str">
        <f>HYPERLINK("https://pbs.twimg.com/profile_images/625353605223219200/s2-FCMpT.jpg","View")</f>
        <v>View</v>
      </c>
    </row>
    <row r="1356" spans="1:21" ht="13.2">
      <c r="A1356" s="6">
        <v>43437.887789351851</v>
      </c>
      <c r="B1356" s="7" t="str">
        <f>HYPERLINK("https://twitter.com/JolucatoJose","@JolucatoJose")</f>
        <v>@JolucatoJose</v>
      </c>
      <c r="C1356" s="8" t="s">
        <v>4672</v>
      </c>
      <c r="D1356" s="9" t="s">
        <v>4673</v>
      </c>
      <c r="E1356" s="10" t="str">
        <f>HYPERLINK("https://twitter.com/JolucatoJose/status/1069687317676376064","1069687317676376064")</f>
        <v>1069687317676376064</v>
      </c>
      <c r="F1356" s="12"/>
      <c r="G1356" s="11" t="s">
        <v>4674</v>
      </c>
      <c r="H1356" s="12"/>
      <c r="I1356" s="13">
        <v>0</v>
      </c>
      <c r="J1356" s="13">
        <v>0</v>
      </c>
      <c r="K1356" s="14" t="str">
        <f>HYPERLINK("http://twitter.com/download/iphone","Twitter for iPhone")</f>
        <v>Twitter for iPhone</v>
      </c>
      <c r="L1356" s="13">
        <v>120</v>
      </c>
      <c r="M1356" s="13">
        <v>252</v>
      </c>
      <c r="N1356" s="13">
        <v>0</v>
      </c>
      <c r="O1356" s="15"/>
      <c r="P1356" s="6">
        <v>41690.767766203702</v>
      </c>
      <c r="Q1356" s="12"/>
      <c r="R1356" s="20"/>
      <c r="S1356" s="12"/>
      <c r="T1356" s="12"/>
      <c r="U1356" s="10" t="str">
        <f>HYPERLINK("https://pbs.twimg.com/profile_images/1027833431588315137/0Fvv-Zm2.jpg","View")</f>
        <v>View</v>
      </c>
    </row>
    <row r="1357" spans="1:21" ht="30.6">
      <c r="A1357" s="6">
        <v>43437.887025462958</v>
      </c>
      <c r="B1357" s="7" t="str">
        <f>HYPERLINK("https://twitter.com/republicano1945","@republicano1945")</f>
        <v>@republicano1945</v>
      </c>
      <c r="C1357" s="8" t="s">
        <v>3083</v>
      </c>
      <c r="D1357" s="9" t="s">
        <v>4489</v>
      </c>
      <c r="E1357" s="10" t="str">
        <f>HYPERLINK("https://twitter.com/republicano1945/status/1069687042727141376","1069687042727141376")</f>
        <v>1069687042727141376</v>
      </c>
      <c r="F1357" s="11" t="s">
        <v>4093</v>
      </c>
      <c r="G1357" s="12"/>
      <c r="H1357" s="12"/>
      <c r="I1357" s="13">
        <v>1</v>
      </c>
      <c r="J1357" s="13">
        <v>2</v>
      </c>
      <c r="K1357" s="14" t="str">
        <f>HYPERLINK("http://twitter.com","Twitter Web Client")</f>
        <v>Twitter Web Client</v>
      </c>
      <c r="L1357" s="13">
        <v>8276</v>
      </c>
      <c r="M1357" s="13">
        <v>8434</v>
      </c>
      <c r="N1357" s="13">
        <v>20</v>
      </c>
      <c r="O1357" s="15"/>
      <c r="P1357" s="6">
        <v>42992.106516203705</v>
      </c>
      <c r="Q1357" s="16" t="s">
        <v>3084</v>
      </c>
      <c r="R1357" s="17" t="s">
        <v>3085</v>
      </c>
      <c r="S1357" s="12"/>
      <c r="T1357" s="12"/>
      <c r="U1357" s="10" t="str">
        <f>HYPERLINK("https://pbs.twimg.com/profile_images/920346803001856000/ZsnGz_F1.jpg","View")</f>
        <v>View</v>
      </c>
    </row>
    <row r="1358" spans="1:21" ht="61.2">
      <c r="A1358" s="6">
        <v>43437.886770833335</v>
      </c>
      <c r="B1358" s="7" t="str">
        <f>HYPERLINK("https://twitter.com/antoniobernabe","@antoniobernabe")</f>
        <v>@antoniobernabe</v>
      </c>
      <c r="C1358" s="8" t="s">
        <v>4675</v>
      </c>
      <c r="D1358" s="9" t="s">
        <v>4676</v>
      </c>
      <c r="E1358" s="10" t="str">
        <f>HYPERLINK("https://twitter.com/antoniobernabe/status/1069686948955123712","1069686948955123712")</f>
        <v>1069686948955123712</v>
      </c>
      <c r="F1358" s="11" t="s">
        <v>4677</v>
      </c>
      <c r="G1358" s="11" t="s">
        <v>4678</v>
      </c>
      <c r="H1358" s="12"/>
      <c r="I1358" s="13">
        <v>0</v>
      </c>
      <c r="J1358" s="13">
        <v>1</v>
      </c>
      <c r="K1358" s="14" t="str">
        <f>HYPERLINK("http://www.facebook.com/twitter","Facebook")</f>
        <v>Facebook</v>
      </c>
      <c r="L1358" s="13">
        <v>2142</v>
      </c>
      <c r="M1358" s="13">
        <v>1736</v>
      </c>
      <c r="N1358" s="13">
        <v>35</v>
      </c>
      <c r="O1358" s="15"/>
      <c r="P1358" s="6">
        <v>40446.636388888888</v>
      </c>
      <c r="Q1358" s="12"/>
      <c r="R1358" s="17" t="s">
        <v>4679</v>
      </c>
      <c r="S1358" s="11" t="s">
        <v>4680</v>
      </c>
      <c r="T1358" s="12"/>
      <c r="U1358" s="10" t="str">
        <f>HYPERLINK("https://pbs.twimg.com/profile_images/988852544456806400/K94efQB7.jpg","View")</f>
        <v>View</v>
      </c>
    </row>
    <row r="1359" spans="1:21" ht="20.399999999999999">
      <c r="A1359" s="6">
        <v>43437.886643518519</v>
      </c>
      <c r="B1359" s="7" t="str">
        <f>HYPERLINK("https://twitter.com/QuePerezaTodo","@QuePerezaTodo")</f>
        <v>@QuePerezaTodo</v>
      </c>
      <c r="C1359" s="8" t="s">
        <v>4681</v>
      </c>
      <c r="D1359" s="9" t="s">
        <v>4682</v>
      </c>
      <c r="E1359" s="10" t="str">
        <f>HYPERLINK("https://twitter.com/QuePerezaTodo/status/1069686905380487169","1069686905380487169")</f>
        <v>1069686905380487169</v>
      </c>
      <c r="F1359" s="12"/>
      <c r="G1359" s="12"/>
      <c r="H1359" s="12"/>
      <c r="I1359" s="13">
        <v>1</v>
      </c>
      <c r="J1359" s="13">
        <v>1</v>
      </c>
      <c r="K1359" s="14" t="str">
        <f>HYPERLINK("http://twitter.com/download/android","Twitter for Android")</f>
        <v>Twitter for Android</v>
      </c>
      <c r="L1359" s="13">
        <v>238</v>
      </c>
      <c r="M1359" s="13">
        <v>498</v>
      </c>
      <c r="N1359" s="13">
        <v>2</v>
      </c>
      <c r="O1359" s="15"/>
      <c r="P1359" s="6">
        <v>40903.530162037037</v>
      </c>
      <c r="Q1359" s="12"/>
      <c r="R1359" s="17" t="s">
        <v>4683</v>
      </c>
      <c r="S1359" s="12"/>
      <c r="T1359" s="12"/>
      <c r="U1359" s="10" t="str">
        <f>HYPERLINK("https://pbs.twimg.com/profile_images/1049180916961222657/7UJ8TScB.jpg","View")</f>
        <v>View</v>
      </c>
    </row>
    <row r="1360" spans="1:21" ht="40.799999999999997">
      <c r="A1360" s="6">
        <v>43437.885567129633</v>
      </c>
      <c r="B1360" s="7" t="str">
        <f>HYPERLINK("https://twitter.com/telediario_tve","@telediario_tve")</f>
        <v>@telediario_tve</v>
      </c>
      <c r="C1360" s="8" t="s">
        <v>4684</v>
      </c>
      <c r="D1360" s="9" t="s">
        <v>4685</v>
      </c>
      <c r="E1360" s="10" t="str">
        <f>HYPERLINK("https://twitter.com/telediario_tve/status/1069686513359699968","1069686513359699968")</f>
        <v>1069686513359699968</v>
      </c>
      <c r="F1360" s="11" t="s">
        <v>4688</v>
      </c>
      <c r="G1360" s="11" t="s">
        <v>4689</v>
      </c>
      <c r="H1360" s="12"/>
      <c r="I1360" s="13">
        <v>4</v>
      </c>
      <c r="J1360" s="13">
        <v>7</v>
      </c>
      <c r="K1360" s="14" t="str">
        <f>HYPERLINK("http://snappytv.com","SnappyTV.com")</f>
        <v>SnappyTV.com</v>
      </c>
      <c r="L1360" s="13">
        <v>186404</v>
      </c>
      <c r="M1360" s="13">
        <v>155</v>
      </c>
      <c r="N1360" s="13">
        <v>1856</v>
      </c>
      <c r="O1360" s="19" t="s">
        <v>44</v>
      </c>
      <c r="P1360" s="6">
        <v>40043.563726851848</v>
      </c>
      <c r="Q1360" s="12"/>
      <c r="R1360" s="17" t="s">
        <v>4691</v>
      </c>
      <c r="S1360" s="11" t="s">
        <v>4692</v>
      </c>
      <c r="T1360" s="12"/>
      <c r="U1360" s="10" t="str">
        <f>HYPERLINK("https://pbs.twimg.com/profile_images/1053256299583102977/0Skm2z_t.jpg","View")</f>
        <v>View</v>
      </c>
    </row>
    <row r="1361" spans="1:21" ht="51">
      <c r="A1361" s="6">
        <v>43437.885555555556</v>
      </c>
      <c r="B1361" s="7" t="str">
        <f>HYPERLINK("https://twitter.com/rosamariaartal","@rosamariaartal")</f>
        <v>@rosamariaartal</v>
      </c>
      <c r="C1361" s="8" t="s">
        <v>1800</v>
      </c>
      <c r="D1361" s="9" t="s">
        <v>4693</v>
      </c>
      <c r="E1361" s="10" t="str">
        <f>HYPERLINK("https://twitter.com/rosamariaartal/status/1069686510243512320","1069686510243512320")</f>
        <v>1069686510243512320</v>
      </c>
      <c r="F1361" s="12"/>
      <c r="G1361" s="11" t="s">
        <v>4309</v>
      </c>
      <c r="H1361" s="12"/>
      <c r="I1361" s="13">
        <v>165</v>
      </c>
      <c r="J1361" s="13">
        <v>255</v>
      </c>
      <c r="K1361" s="14" t="str">
        <f t="shared" ref="K1361:K1362" si="235">HYPERLINK("http://twitter.com/download/android","Twitter for Android")</f>
        <v>Twitter for Android</v>
      </c>
      <c r="L1361" s="13">
        <v>104019</v>
      </c>
      <c r="M1361" s="13">
        <v>3025</v>
      </c>
      <c r="N1361" s="13">
        <v>2712</v>
      </c>
      <c r="O1361" s="15"/>
      <c r="P1361" s="6">
        <v>40094.819687499999</v>
      </c>
      <c r="Q1361" s="16" t="s">
        <v>109</v>
      </c>
      <c r="R1361" s="17" t="s">
        <v>1802</v>
      </c>
      <c r="S1361" s="11" t="s">
        <v>1803</v>
      </c>
      <c r="T1361" s="12"/>
      <c r="U1361" s="10" t="str">
        <f>HYPERLINK("https://pbs.twimg.com/profile_images/780888265238974464/fOR4WuD5.jpg","View")</f>
        <v>View</v>
      </c>
    </row>
    <row r="1362" spans="1:21" ht="51">
      <c r="A1362" s="6">
        <v>43437.885497685187</v>
      </c>
      <c r="B1362" s="7" t="str">
        <f>HYPERLINK("https://twitter.com/jorgema__","@jorgema__")</f>
        <v>@jorgema__</v>
      </c>
      <c r="C1362" s="8" t="s">
        <v>4694</v>
      </c>
      <c r="D1362" s="9" t="s">
        <v>4695</v>
      </c>
      <c r="E1362" s="10" t="str">
        <f>HYPERLINK("https://twitter.com/jorgema__/status/1069686488009506821","1069686488009506821")</f>
        <v>1069686488009506821</v>
      </c>
      <c r="F1362" s="12"/>
      <c r="G1362" s="12"/>
      <c r="H1362" s="12"/>
      <c r="I1362" s="13">
        <v>0</v>
      </c>
      <c r="J1362" s="13">
        <v>6</v>
      </c>
      <c r="K1362" s="14" t="str">
        <f t="shared" si="235"/>
        <v>Twitter for Android</v>
      </c>
      <c r="L1362" s="13">
        <v>216</v>
      </c>
      <c r="M1362" s="13">
        <v>506</v>
      </c>
      <c r="N1362" s="13">
        <v>5</v>
      </c>
      <c r="O1362" s="15"/>
      <c r="P1362" s="6">
        <v>42439.990578703699</v>
      </c>
      <c r="Q1362" s="16" t="s">
        <v>191</v>
      </c>
      <c r="R1362" s="17" t="s">
        <v>4696</v>
      </c>
      <c r="S1362" s="11" t="s">
        <v>4697</v>
      </c>
      <c r="T1362" s="12"/>
      <c r="U1362" s="10" t="str">
        <f>HYPERLINK("https://pbs.twimg.com/profile_images/1063582202024394754/OCnOyuAh.jpg","View")</f>
        <v>View</v>
      </c>
    </row>
    <row r="1363" spans="1:21" ht="20.399999999999999">
      <c r="A1363" s="6">
        <v>43437.885347222225</v>
      </c>
      <c r="B1363" s="7" t="str">
        <f>HYPERLINK("https://twitter.com/JoseanDuran45","@JoseanDuran45")</f>
        <v>@JoseanDuran45</v>
      </c>
      <c r="C1363" s="8" t="s">
        <v>4698</v>
      </c>
      <c r="D1363" s="9" t="s">
        <v>4489</v>
      </c>
      <c r="E1363" s="10" t="str">
        <f>HYPERLINK("https://twitter.com/JoseanDuran45/status/1069686435505160193","1069686435505160193")</f>
        <v>1069686435505160193</v>
      </c>
      <c r="F1363" s="11" t="s">
        <v>4093</v>
      </c>
      <c r="G1363" s="12"/>
      <c r="H1363" s="12"/>
      <c r="I1363" s="13">
        <v>0</v>
      </c>
      <c r="J1363" s="13">
        <v>0</v>
      </c>
      <c r="K1363" s="14" t="str">
        <f>HYPERLINK("http://twitter.com","Twitter Web Client")</f>
        <v>Twitter Web Client</v>
      </c>
      <c r="L1363" s="13">
        <v>154</v>
      </c>
      <c r="M1363" s="13">
        <v>176</v>
      </c>
      <c r="N1363" s="13">
        <v>4</v>
      </c>
      <c r="O1363" s="15"/>
      <c r="P1363" s="6">
        <v>42327.814120370371</v>
      </c>
      <c r="Q1363" s="12"/>
      <c r="R1363" s="20"/>
      <c r="S1363" s="12"/>
      <c r="T1363" s="12"/>
      <c r="U1363" s="10" t="str">
        <f>HYPERLINK("https://pbs.twimg.com/profile_images/667412235568959488/hCT9XWvM.jpg","View")</f>
        <v>View</v>
      </c>
    </row>
    <row r="1364" spans="1:21" ht="81.599999999999994">
      <c r="A1364" s="6">
        <v>43437.884224537032</v>
      </c>
      <c r="B1364" s="7" t="str">
        <f>HYPERLINK("https://twitter.com/PepitaMenaMart1","@PepitaMenaMart1")</f>
        <v>@PepitaMenaMart1</v>
      </c>
      <c r="C1364" s="8" t="s">
        <v>4494</v>
      </c>
      <c r="D1364" s="9" t="s">
        <v>4704</v>
      </c>
      <c r="E1364" s="10" t="str">
        <f>HYPERLINK("https://twitter.com/PepitaMenaMart1/status/1069686029358129154","1069686029358129154")</f>
        <v>1069686029358129154</v>
      </c>
      <c r="F1364" s="16" t="s">
        <v>4554</v>
      </c>
      <c r="G1364" s="12"/>
      <c r="H1364" s="12"/>
      <c r="I1364" s="13">
        <v>0</v>
      </c>
      <c r="J1364" s="13">
        <v>1</v>
      </c>
      <c r="K1364" s="14" t="str">
        <f t="shared" ref="K1364:K1366" si="236">HYPERLINK("http://twitter.com/download/android","Twitter for Android")</f>
        <v>Twitter for Android</v>
      </c>
      <c r="L1364" s="13">
        <v>437</v>
      </c>
      <c r="M1364" s="13">
        <v>350</v>
      </c>
      <c r="N1364" s="13">
        <v>1</v>
      </c>
      <c r="O1364" s="15"/>
      <c r="P1364" s="6">
        <v>43124.888506944444</v>
      </c>
      <c r="Q1364" s="16" t="s">
        <v>4497</v>
      </c>
      <c r="R1364" s="17" t="s">
        <v>4498</v>
      </c>
      <c r="S1364" s="12"/>
      <c r="T1364" s="12"/>
      <c r="U1364" s="10" t="str">
        <f>HYPERLINK("https://pbs.twimg.com/profile_images/1053410905311064064/xChXdA8v.jpg","View")</f>
        <v>View</v>
      </c>
    </row>
    <row r="1365" spans="1:21" ht="30.6">
      <c r="A1365" s="6">
        <v>43437.882384259261</v>
      </c>
      <c r="B1365" s="7" t="str">
        <f>HYPERLINK("https://twitter.com/Comunase","@Comunase")</f>
        <v>@Comunase</v>
      </c>
      <c r="C1365" s="8" t="s">
        <v>4705</v>
      </c>
      <c r="D1365" s="9" t="s">
        <v>4706</v>
      </c>
      <c r="E1365" s="10" t="str">
        <f>HYPERLINK("https://twitter.com/Comunase/status/1069685360165314562","1069685360165314562")</f>
        <v>1069685360165314562</v>
      </c>
      <c r="F1365" s="12"/>
      <c r="G1365" s="12"/>
      <c r="H1365" s="12"/>
      <c r="I1365" s="13">
        <v>3</v>
      </c>
      <c r="J1365" s="13">
        <v>3</v>
      </c>
      <c r="K1365" s="14" t="str">
        <f t="shared" si="236"/>
        <v>Twitter for Android</v>
      </c>
      <c r="L1365" s="13">
        <v>14561</v>
      </c>
      <c r="M1365" s="13">
        <v>555</v>
      </c>
      <c r="N1365" s="13">
        <v>264</v>
      </c>
      <c r="O1365" s="15"/>
      <c r="P1365" s="6">
        <v>40893.825173611112</v>
      </c>
      <c r="Q1365" s="16" t="s">
        <v>4707</v>
      </c>
      <c r="R1365" s="17" t="s">
        <v>4708</v>
      </c>
      <c r="S1365" s="12"/>
      <c r="T1365" s="12"/>
      <c r="U1365" s="10" t="str">
        <f>HYPERLINK("https://pbs.twimg.com/profile_images/1057328994775953414/YcqO1jg-.jpg","View")</f>
        <v>View</v>
      </c>
    </row>
    <row r="1366" spans="1:21" ht="40.799999999999997">
      <c r="A1366" s="6">
        <v>43437.878379629634</v>
      </c>
      <c r="B1366" s="7" t="str">
        <f>HYPERLINK("https://twitter.com/GerardReusCAT","@GerardReusCAT")</f>
        <v>@GerardReusCAT</v>
      </c>
      <c r="C1366" s="8" t="s">
        <v>4709</v>
      </c>
      <c r="D1366" s="9" t="s">
        <v>4710</v>
      </c>
      <c r="E1366" s="10" t="str">
        <f>HYPERLINK("https://twitter.com/GerardReusCAT/status/1069683908839686144","1069683908839686144")</f>
        <v>1069683908839686144</v>
      </c>
      <c r="F1366" s="12"/>
      <c r="G1366" s="12"/>
      <c r="H1366" s="12"/>
      <c r="I1366" s="13">
        <v>0</v>
      </c>
      <c r="J1366" s="13">
        <v>0</v>
      </c>
      <c r="K1366" s="14" t="str">
        <f t="shared" si="236"/>
        <v>Twitter for Android</v>
      </c>
      <c r="L1366" s="13">
        <v>4307</v>
      </c>
      <c r="M1366" s="13">
        <v>3756</v>
      </c>
      <c r="N1366" s="13">
        <v>32</v>
      </c>
      <c r="O1366" s="15"/>
      <c r="P1366" s="6">
        <v>41039.931851851856</v>
      </c>
      <c r="Q1366" s="16" t="s">
        <v>4711</v>
      </c>
      <c r="R1366" s="17" t="s">
        <v>4712</v>
      </c>
      <c r="S1366" s="12"/>
      <c r="T1366" s="12"/>
      <c r="U1366" s="10" t="str">
        <f>HYPERLINK("https://pbs.twimg.com/profile_images/655870224131072000/isZXhQfJ.jpg","View")</f>
        <v>View</v>
      </c>
    </row>
    <row r="1367" spans="1:21" ht="30.6">
      <c r="A1367" s="6">
        <v>43437.877384259264</v>
      </c>
      <c r="B1367" s="7" t="str">
        <f>HYPERLINK("https://twitter.com/SENECA_HH","@SENECA_HH")</f>
        <v>@SENECA_HH</v>
      </c>
      <c r="C1367" s="8" t="s">
        <v>3696</v>
      </c>
      <c r="D1367" s="9" t="s">
        <v>4713</v>
      </c>
      <c r="E1367" s="10" t="str">
        <f>HYPERLINK("https://twitter.com/SENECA_HH/status/1069683549555646470","1069683549555646470")</f>
        <v>1069683549555646470</v>
      </c>
      <c r="F1367" s="11" t="s">
        <v>3698</v>
      </c>
      <c r="G1367" s="12"/>
      <c r="H1367" s="12"/>
      <c r="I1367" s="13">
        <v>0</v>
      </c>
      <c r="J1367" s="13">
        <v>1</v>
      </c>
      <c r="K1367" s="14" t="str">
        <f>HYPERLINK("http://twitter.com","Twitter Web Client")</f>
        <v>Twitter Web Client</v>
      </c>
      <c r="L1367" s="13">
        <v>1382</v>
      </c>
      <c r="M1367" s="13">
        <v>972</v>
      </c>
      <c r="N1367" s="13">
        <v>25</v>
      </c>
      <c r="O1367" s="15"/>
      <c r="P1367" s="6">
        <v>40944.904756944445</v>
      </c>
      <c r="Q1367" s="16" t="s">
        <v>48</v>
      </c>
      <c r="R1367" s="17" t="s">
        <v>3699</v>
      </c>
      <c r="S1367" s="12"/>
      <c r="T1367" s="12"/>
      <c r="U1367" s="10" t="str">
        <f>HYPERLINK("https://pbs.twimg.com/profile_images/1006505117884076033/HyYIq-WV.jpg","View")</f>
        <v>View</v>
      </c>
    </row>
    <row r="1368" spans="1:21" ht="51">
      <c r="A1368" s="6">
        <v>43437.875196759254</v>
      </c>
      <c r="B1368" s="7" t="str">
        <f>HYPERLINK("https://twitter.com/PodemosSanlo","@PodemosSanlo")</f>
        <v>@PodemosSanlo</v>
      </c>
      <c r="C1368" s="8" t="s">
        <v>4714</v>
      </c>
      <c r="D1368" s="9" t="s">
        <v>4715</v>
      </c>
      <c r="E1368" s="10" t="str">
        <f>HYPERLINK("https://twitter.com/PodemosSanlo/status/1069682757503213570","1069682757503213570")</f>
        <v>1069682757503213570</v>
      </c>
      <c r="F1368" s="11" t="s">
        <v>4716</v>
      </c>
      <c r="G1368" s="12"/>
      <c r="H1368" s="12"/>
      <c r="I1368" s="13">
        <v>0</v>
      </c>
      <c r="J1368" s="13">
        <v>0</v>
      </c>
      <c r="K1368" s="14" t="str">
        <f>HYPERLINK("https://www.hootsuite.com","Hootsuite Inc.")</f>
        <v>Hootsuite Inc.</v>
      </c>
      <c r="L1368" s="13">
        <v>304</v>
      </c>
      <c r="M1368" s="13">
        <v>457</v>
      </c>
      <c r="N1368" s="13">
        <v>6</v>
      </c>
      <c r="O1368" s="15"/>
      <c r="P1368" s="6">
        <v>42285.614965277782</v>
      </c>
      <c r="Q1368" s="16" t="s">
        <v>4717</v>
      </c>
      <c r="R1368" s="20"/>
      <c r="S1368" s="12"/>
      <c r="T1368" s="12"/>
      <c r="U1368" s="10" t="str">
        <f>HYPERLINK("https://pbs.twimg.com/profile_images/1037056798765854724/bWVz_rcQ.jpg","View")</f>
        <v>View</v>
      </c>
    </row>
    <row r="1369" spans="1:21" ht="51">
      <c r="A1369" s="6">
        <v>43437.874201388884</v>
      </c>
      <c r="B1369" s="7" t="str">
        <f>HYPERLINK("https://twitter.com/sarranchin","@sarranchin")</f>
        <v>@sarranchin</v>
      </c>
      <c r="C1369" s="8" t="s">
        <v>4718</v>
      </c>
      <c r="D1369" s="9" t="s">
        <v>4719</v>
      </c>
      <c r="E1369" s="10" t="str">
        <f>HYPERLINK("https://twitter.com/sarranchin/status/1069682396746932224","1069682396746932224")</f>
        <v>1069682396746932224</v>
      </c>
      <c r="F1369" s="16" t="s">
        <v>4720</v>
      </c>
      <c r="G1369" s="12"/>
      <c r="H1369" s="12"/>
      <c r="I1369" s="13">
        <v>0</v>
      </c>
      <c r="J1369" s="13">
        <v>0</v>
      </c>
      <c r="K1369" s="14" t="str">
        <f>HYPERLINK("http://twitter.com/download/android","Twitter for Android")</f>
        <v>Twitter for Android</v>
      </c>
      <c r="L1369" s="13">
        <v>2491</v>
      </c>
      <c r="M1369" s="13">
        <v>4988</v>
      </c>
      <c r="N1369" s="13">
        <v>17</v>
      </c>
      <c r="O1369" s="15"/>
      <c r="P1369" s="6">
        <v>40463.423460648148</v>
      </c>
      <c r="Q1369" s="16" t="s">
        <v>4721</v>
      </c>
      <c r="R1369" s="17" t="s">
        <v>4722</v>
      </c>
      <c r="S1369" s="11" t="s">
        <v>4723</v>
      </c>
      <c r="T1369" s="12"/>
      <c r="U1369" s="10" t="str">
        <f>HYPERLINK("https://pbs.twimg.com/profile_images/1030791341540888576/IsG0zeeX.jpg","View")</f>
        <v>View</v>
      </c>
    </row>
    <row r="1370" spans="1:21" ht="91.8">
      <c r="A1370" s="6">
        <v>43437.872048611112</v>
      </c>
      <c r="B1370" s="7" t="str">
        <f>HYPERLINK("https://twitter.com/LiBF","@LiBF")</f>
        <v>@LiBF</v>
      </c>
      <c r="C1370" s="8" t="s">
        <v>4568</v>
      </c>
      <c r="D1370" s="9" t="s">
        <v>4571</v>
      </c>
      <c r="E1370" s="10" t="str">
        <f>HYPERLINK("https://twitter.com/LiBF/status/1069681615545217024","1069681615545217024")</f>
        <v>1069681615545217024</v>
      </c>
      <c r="F1370" s="11" t="s">
        <v>4431</v>
      </c>
      <c r="G1370" s="16" t="s">
        <v>4573</v>
      </c>
      <c r="H1370" s="12"/>
      <c r="I1370" s="13">
        <v>0</v>
      </c>
      <c r="J1370" s="13">
        <v>0</v>
      </c>
      <c r="K1370" s="14" t="str">
        <f t="shared" ref="K1370:K1371" si="237">HYPERLINK("http://twitter.com","Twitter Web Client")</f>
        <v>Twitter Web Client</v>
      </c>
      <c r="L1370" s="13">
        <v>95</v>
      </c>
      <c r="M1370" s="13">
        <v>98</v>
      </c>
      <c r="N1370" s="13">
        <v>2</v>
      </c>
      <c r="O1370" s="15"/>
      <c r="P1370" s="6">
        <v>39892.549618055556</v>
      </c>
      <c r="Q1370" s="16" t="s">
        <v>86</v>
      </c>
      <c r="R1370" s="17" t="s">
        <v>4575</v>
      </c>
      <c r="S1370" s="12"/>
      <c r="T1370" s="12"/>
      <c r="U1370" s="10" t="str">
        <f>HYPERLINK("https://pbs.twimg.com/profile_images/104500491/impronta.gif","View")</f>
        <v>View</v>
      </c>
    </row>
    <row r="1371" spans="1:21" ht="51">
      <c r="A1371" s="6">
        <v>43437.868634259255</v>
      </c>
      <c r="B1371" s="7" t="str">
        <f>HYPERLINK("https://twitter.com/AnaGuuuinini","@AnaGuuuinini")</f>
        <v>@AnaGuuuinini</v>
      </c>
      <c r="C1371" s="8" t="s">
        <v>4724</v>
      </c>
      <c r="D1371" s="9" t="s">
        <v>4725</v>
      </c>
      <c r="E1371" s="10" t="str">
        <f>HYPERLINK("https://twitter.com/AnaGuuuinini/status/1069680379005681673","1069680379005681673")</f>
        <v>1069680379005681673</v>
      </c>
      <c r="F1371" s="12"/>
      <c r="G1371" s="11" t="s">
        <v>4726</v>
      </c>
      <c r="H1371" s="12"/>
      <c r="I1371" s="13">
        <v>0</v>
      </c>
      <c r="J1371" s="13">
        <v>0</v>
      </c>
      <c r="K1371" s="14" t="str">
        <f t="shared" si="237"/>
        <v>Twitter Web Client</v>
      </c>
      <c r="L1371" s="13">
        <v>2817</v>
      </c>
      <c r="M1371" s="13">
        <v>5001</v>
      </c>
      <c r="N1371" s="13">
        <v>41</v>
      </c>
      <c r="O1371" s="15"/>
      <c r="P1371" s="6">
        <v>41208.632847222223</v>
      </c>
      <c r="Q1371" s="16" t="s">
        <v>48</v>
      </c>
      <c r="R1371" s="17" t="s">
        <v>4727</v>
      </c>
      <c r="S1371" s="12"/>
      <c r="T1371" s="12"/>
      <c r="U1371" s="10" t="str">
        <f>HYPERLINK("https://pbs.twimg.com/profile_images/1055259052010360832/qYL9F1vn.jpg","View")</f>
        <v>View</v>
      </c>
    </row>
    <row r="1372" spans="1:21" ht="40.799999999999997">
      <c r="A1372" s="6">
        <v>43437.861458333333</v>
      </c>
      <c r="B1372" s="7" t="str">
        <f>HYPERLINK("https://twitter.com/Cesar7Parra8","@Cesar7Parra8")</f>
        <v>@Cesar7Parra8</v>
      </c>
      <c r="C1372" s="8" t="s">
        <v>4728</v>
      </c>
      <c r="D1372" s="9" t="s">
        <v>4729</v>
      </c>
      <c r="E1372" s="10" t="str">
        <f>HYPERLINK("https://twitter.com/Cesar7Parra8/status/1069677778683990016","1069677778683990016")</f>
        <v>1069677778683990016</v>
      </c>
      <c r="F1372" s="12"/>
      <c r="G1372" s="12"/>
      <c r="H1372" s="12"/>
      <c r="I1372" s="13">
        <v>0</v>
      </c>
      <c r="J1372" s="13">
        <v>0</v>
      </c>
      <c r="K1372" s="14" t="str">
        <f>HYPERLINK("http://twitter.com/download/android","Twitter for Android")</f>
        <v>Twitter for Android</v>
      </c>
      <c r="L1372" s="13">
        <v>309</v>
      </c>
      <c r="M1372" s="13">
        <v>288</v>
      </c>
      <c r="N1372" s="13">
        <v>54</v>
      </c>
      <c r="O1372" s="15"/>
      <c r="P1372" s="6">
        <v>41224.854814814811</v>
      </c>
      <c r="Q1372" s="12"/>
      <c r="R1372" s="17" t="s">
        <v>4730</v>
      </c>
      <c r="S1372" s="12"/>
      <c r="T1372" s="12"/>
      <c r="U1372" s="10" t="str">
        <f>HYPERLINK("https://pbs.twimg.com/profile_images/1058803182153949184/PNmagroR.jpg","View")</f>
        <v>View</v>
      </c>
    </row>
    <row r="1373" spans="1:21" ht="40.799999999999997">
      <c r="A1373" s="6">
        <v>43437.858854166669</v>
      </c>
      <c r="B1373" s="7" t="str">
        <f>HYPERLINK("https://twitter.com/SoyDonNadie","@SoyDonNadie")</f>
        <v>@SoyDonNadie</v>
      </c>
      <c r="C1373" s="8" t="s">
        <v>4731</v>
      </c>
      <c r="D1373" s="9" t="s">
        <v>4732</v>
      </c>
      <c r="E1373" s="10" t="str">
        <f>HYPERLINK("https://twitter.com/SoyDonNadie/status/1069676832293838856","1069676832293838856")</f>
        <v>1069676832293838856</v>
      </c>
      <c r="F1373" s="12"/>
      <c r="G1373" s="12"/>
      <c r="H1373" s="12"/>
      <c r="I1373" s="13">
        <v>1</v>
      </c>
      <c r="J1373" s="13">
        <v>1</v>
      </c>
      <c r="K1373" s="14" t="str">
        <f>HYPERLINK("http://www.facebook.com/twitter","Facebook")</f>
        <v>Facebook</v>
      </c>
      <c r="L1373" s="13">
        <v>946</v>
      </c>
      <c r="M1373" s="13">
        <v>2309</v>
      </c>
      <c r="N1373" s="13">
        <v>14</v>
      </c>
      <c r="O1373" s="15"/>
      <c r="P1373" s="6">
        <v>40546.957303240742</v>
      </c>
      <c r="Q1373" s="16" t="s">
        <v>191</v>
      </c>
      <c r="R1373" s="17" t="s">
        <v>4733</v>
      </c>
      <c r="S1373" s="11" t="s">
        <v>4734</v>
      </c>
      <c r="T1373" s="12"/>
      <c r="U1373" s="10" t="str">
        <f>HYPERLINK("https://pbs.twimg.com/profile_images/1900771571/Don_2520Nadie.JPG","View")</f>
        <v>View</v>
      </c>
    </row>
    <row r="1374" spans="1:21" ht="51">
      <c r="A1374" s="6">
        <v>43437.85633101852</v>
      </c>
      <c r="B1374" s="7" t="str">
        <f>HYPERLINK("https://twitter.com/furretillo","@furretillo")</f>
        <v>@furretillo</v>
      </c>
      <c r="C1374" s="8" t="s">
        <v>1589</v>
      </c>
      <c r="D1374" s="9" t="s">
        <v>4735</v>
      </c>
      <c r="E1374" s="10" t="str">
        <f>HYPERLINK("https://twitter.com/furretillo/status/1069675920141770755","1069675920141770755")</f>
        <v>1069675920141770755</v>
      </c>
      <c r="F1374" s="12"/>
      <c r="G1374" s="12"/>
      <c r="H1374" s="12"/>
      <c r="I1374" s="13">
        <v>0</v>
      </c>
      <c r="J1374" s="13">
        <v>0</v>
      </c>
      <c r="K1374" s="14" t="str">
        <f t="shared" ref="K1374:K1375" si="238">HYPERLINK("http://twitter.com","Twitter Web Client")</f>
        <v>Twitter Web Client</v>
      </c>
      <c r="L1374" s="13">
        <v>4710</v>
      </c>
      <c r="M1374" s="13">
        <v>4003</v>
      </c>
      <c r="N1374" s="13">
        <v>22</v>
      </c>
      <c r="O1374" s="15"/>
      <c r="P1374" s="6">
        <v>41412.937569444446</v>
      </c>
      <c r="Q1374" s="12"/>
      <c r="R1374" s="17" t="s">
        <v>1591</v>
      </c>
      <c r="S1374" s="12"/>
      <c r="T1374" s="12"/>
      <c r="U1374" s="10" t="str">
        <f>HYPERLINK("https://pbs.twimg.com/profile_images/3678005210/e8150c2c2b1c85957c34007aba1973d9.jpeg","View")</f>
        <v>View</v>
      </c>
    </row>
    <row r="1375" spans="1:21" ht="40.799999999999997">
      <c r="A1375" s="6">
        <v>43437.855844907404</v>
      </c>
      <c r="B1375" s="7" t="str">
        <f>HYPERLINK("https://twitter.com/lobin1974","@lobin1974")</f>
        <v>@lobin1974</v>
      </c>
      <c r="C1375" s="8" t="s">
        <v>4626</v>
      </c>
      <c r="D1375" s="9" t="s">
        <v>4736</v>
      </c>
      <c r="E1375" s="10" t="str">
        <f>HYPERLINK("https://twitter.com/lobin1974/status/1069675742563307521","1069675742563307521")</f>
        <v>1069675742563307521</v>
      </c>
      <c r="F1375" s="12"/>
      <c r="G1375" s="12"/>
      <c r="H1375" s="12"/>
      <c r="I1375" s="13">
        <v>0</v>
      </c>
      <c r="J1375" s="13">
        <v>0</v>
      </c>
      <c r="K1375" s="14" t="str">
        <f t="shared" si="238"/>
        <v>Twitter Web Client</v>
      </c>
      <c r="L1375" s="13">
        <v>23</v>
      </c>
      <c r="M1375" s="13">
        <v>62</v>
      </c>
      <c r="N1375" s="13">
        <v>0</v>
      </c>
      <c r="O1375" s="15"/>
      <c r="P1375" s="6">
        <v>41223.056631944448</v>
      </c>
      <c r="Q1375" s="16" t="s">
        <v>3883</v>
      </c>
      <c r="R1375" s="17" t="s">
        <v>4629</v>
      </c>
      <c r="S1375" s="12"/>
      <c r="T1375" s="12"/>
      <c r="U1375" s="10" t="str">
        <f>HYPERLINK("https://pbs.twimg.com/profile_images/2829331492/212e7d0661533460836d6f2e4df71a66.jpeg","View")</f>
        <v>View</v>
      </c>
    </row>
    <row r="1376" spans="1:21" ht="30.6">
      <c r="A1376" s="6">
        <v>43437.853020833332</v>
      </c>
      <c r="B1376" s="7" t="str">
        <f>HYPERLINK("https://twitter.com/opac_man","@opac_man")</f>
        <v>@opac_man</v>
      </c>
      <c r="C1376" s="8" t="s">
        <v>4737</v>
      </c>
      <c r="D1376" s="9" t="s">
        <v>4738</v>
      </c>
      <c r="E1376" s="10" t="str">
        <f>HYPERLINK("https://twitter.com/opac_man/status/1069674720226889728","1069674720226889728")</f>
        <v>1069674720226889728</v>
      </c>
      <c r="F1376" s="12"/>
      <c r="G1376" s="12"/>
      <c r="H1376" s="12"/>
      <c r="I1376" s="13">
        <v>0</v>
      </c>
      <c r="J1376" s="13">
        <v>0</v>
      </c>
      <c r="K1376" s="14" t="str">
        <f>HYPERLINK("http://twitter.com/download/iphone","Twitter for iPhone")</f>
        <v>Twitter for iPhone</v>
      </c>
      <c r="L1376" s="13">
        <v>28</v>
      </c>
      <c r="M1376" s="13">
        <v>58</v>
      </c>
      <c r="N1376" s="13">
        <v>0</v>
      </c>
      <c r="O1376" s="15"/>
      <c r="P1376" s="6">
        <v>39948.947106481479</v>
      </c>
      <c r="Q1376" s="12"/>
      <c r="R1376" s="17" t="s">
        <v>4739</v>
      </c>
      <c r="S1376" s="12"/>
      <c r="T1376" s="12"/>
      <c r="U1376" s="10" t="str">
        <f>HYPERLINK("https://pbs.twimg.com/profile_images/570259162659971072/En2BY7qp.jpeg","View")</f>
        <v>View</v>
      </c>
    </row>
    <row r="1377" spans="1:21" ht="20.399999999999999">
      <c r="A1377" s="6">
        <v>43437.852800925924</v>
      </c>
      <c r="B1377" s="7" t="str">
        <f>HYPERLINK("https://twitter.com/Arredro","@Arredro")</f>
        <v>@Arredro</v>
      </c>
      <c r="C1377" s="8" t="s">
        <v>4740</v>
      </c>
      <c r="D1377" s="9" t="s">
        <v>4741</v>
      </c>
      <c r="E1377" s="10" t="str">
        <f>HYPERLINK("https://twitter.com/Arredro/status/1069674639268503552","1069674639268503552")</f>
        <v>1069674639268503552</v>
      </c>
      <c r="F1377" s="12"/>
      <c r="G1377" s="12"/>
      <c r="H1377" s="12"/>
      <c r="I1377" s="13">
        <v>1</v>
      </c>
      <c r="J1377" s="13">
        <v>1</v>
      </c>
      <c r="K1377" s="14" t="str">
        <f>HYPERLINK("https://about.twitter.com/products/tweetdeck","TweetDeck")</f>
        <v>TweetDeck</v>
      </c>
      <c r="L1377" s="13">
        <v>940</v>
      </c>
      <c r="M1377" s="13">
        <v>133</v>
      </c>
      <c r="N1377" s="13">
        <v>37</v>
      </c>
      <c r="O1377" s="15"/>
      <c r="P1377" s="6">
        <v>40548.960069444445</v>
      </c>
      <c r="Q1377" s="16" t="s">
        <v>4742</v>
      </c>
      <c r="R1377" s="17" t="s">
        <v>4743</v>
      </c>
      <c r="S1377" s="11" t="s">
        <v>4744</v>
      </c>
      <c r="T1377" s="12"/>
      <c r="U1377" s="10" t="str">
        <f>HYPERLINK("https://pbs.twimg.com/profile_images/690940391344979974/3fSA3O95.jpg","View")</f>
        <v>View</v>
      </c>
    </row>
    <row r="1378" spans="1:21" ht="40.799999999999997">
      <c r="A1378" s="6">
        <v>43437.849849537037</v>
      </c>
      <c r="B1378" s="7" t="str">
        <f>HYPERLINK("https://twitter.com/Sentid2016Comun","@Sentid2016Comun")</f>
        <v>@Sentid2016Comun</v>
      </c>
      <c r="C1378" s="8" t="s">
        <v>4745</v>
      </c>
      <c r="D1378" s="9" t="s">
        <v>4746</v>
      </c>
      <c r="E1378" s="10" t="str">
        <f>HYPERLINK("https://twitter.com/Sentid2016Comun/status/1069673570832433159","1069673570832433159")</f>
        <v>1069673570832433159</v>
      </c>
      <c r="F1378" s="12"/>
      <c r="G1378" s="11" t="s">
        <v>4747</v>
      </c>
      <c r="H1378" s="12"/>
      <c r="I1378" s="13">
        <v>40</v>
      </c>
      <c r="J1378" s="13">
        <v>34</v>
      </c>
      <c r="K1378" s="14" t="str">
        <f>HYPERLINK("http://twitter.com/download/android","Twitter for Android")</f>
        <v>Twitter for Android</v>
      </c>
      <c r="L1378" s="13">
        <v>10823</v>
      </c>
      <c r="M1378" s="13">
        <v>5755</v>
      </c>
      <c r="N1378" s="13">
        <v>81</v>
      </c>
      <c r="O1378" s="15"/>
      <c r="P1378" s="6">
        <v>42390.778402777782</v>
      </c>
      <c r="Q1378" s="16" t="s">
        <v>4748</v>
      </c>
      <c r="R1378" s="17" t="s">
        <v>4749</v>
      </c>
      <c r="S1378" s="12"/>
      <c r="T1378" s="12"/>
      <c r="U1378" s="10" t="str">
        <f>HYPERLINK("https://pbs.twimg.com/profile_images/1014943527091007489/0DYDjPSk.jpg","View")</f>
        <v>View</v>
      </c>
    </row>
    <row r="1379" spans="1:21" ht="20.399999999999999">
      <c r="A1379" s="6">
        <v>43437.846921296295</v>
      </c>
      <c r="B1379" s="7" t="str">
        <f>HYPERLINK("https://twitter.com/4444isa","@4444isa")</f>
        <v>@4444isa</v>
      </c>
      <c r="C1379" s="8" t="s">
        <v>4750</v>
      </c>
      <c r="D1379" s="9" t="s">
        <v>4751</v>
      </c>
      <c r="E1379" s="10" t="str">
        <f>HYPERLINK("https://twitter.com/4444isa/status/1069672508901732353","1069672508901732353")</f>
        <v>1069672508901732353</v>
      </c>
      <c r="F1379" s="11" t="s">
        <v>4487</v>
      </c>
      <c r="G1379" s="12"/>
      <c r="H1379" s="12"/>
      <c r="I1379" s="13">
        <v>6</v>
      </c>
      <c r="J1379" s="13">
        <v>1</v>
      </c>
      <c r="K1379" s="14" t="str">
        <f>HYPERLINK("http://twitter.com","Twitter Web Client")</f>
        <v>Twitter Web Client</v>
      </c>
      <c r="L1379" s="13">
        <v>1448</v>
      </c>
      <c r="M1379" s="13">
        <v>1303</v>
      </c>
      <c r="N1379" s="13">
        <v>181</v>
      </c>
      <c r="O1379" s="15"/>
      <c r="P1379" s="6">
        <v>42002.523680555554</v>
      </c>
      <c r="Q1379" s="16" t="s">
        <v>4752</v>
      </c>
      <c r="R1379" s="17" t="s">
        <v>4753</v>
      </c>
      <c r="S1379" s="12"/>
      <c r="T1379" s="12"/>
      <c r="U1379" s="10" t="str">
        <f>HYPERLINK("https://pbs.twimg.com/profile_images/705124969949372418/aRT41OCd.jpg","View")</f>
        <v>View</v>
      </c>
    </row>
    <row r="1380" spans="1:21" ht="40.799999999999997">
      <c r="A1380" s="6">
        <v>43437.843518518523</v>
      </c>
      <c r="B1380" s="7" t="str">
        <f>HYPERLINK("https://twitter.com/dlacalle","@dlacalle")</f>
        <v>@dlacalle</v>
      </c>
      <c r="C1380" s="8" t="s">
        <v>4754</v>
      </c>
      <c r="D1380" s="9" t="s">
        <v>4755</v>
      </c>
      <c r="E1380" s="10" t="str">
        <f>HYPERLINK("https://twitter.com/dlacalle/status/1069671275365351426","1069671275365351426")</f>
        <v>1069671275365351426</v>
      </c>
      <c r="F1380" s="11" t="s">
        <v>4756</v>
      </c>
      <c r="G1380" s="12"/>
      <c r="H1380" s="12"/>
      <c r="I1380" s="13">
        <v>212</v>
      </c>
      <c r="J1380" s="13">
        <v>384</v>
      </c>
      <c r="K1380" s="14" t="str">
        <f>HYPERLINK("http://twitter.com/download/iphone","Twitter for iPhone")</f>
        <v>Twitter for iPhone</v>
      </c>
      <c r="L1380" s="13">
        <v>144906</v>
      </c>
      <c r="M1380" s="13">
        <v>2194</v>
      </c>
      <c r="N1380" s="13">
        <v>2459</v>
      </c>
      <c r="O1380" s="19" t="s">
        <v>44</v>
      </c>
      <c r="P1380" s="6">
        <v>39909.884062500001</v>
      </c>
      <c r="Q1380" s="16" t="s">
        <v>2165</v>
      </c>
      <c r="R1380" s="17" t="s">
        <v>4757</v>
      </c>
      <c r="S1380" s="11" t="s">
        <v>4758</v>
      </c>
      <c r="T1380" s="12"/>
      <c r="U1380" s="10" t="str">
        <f>HYPERLINK("https://pbs.twimg.com/profile_images/638947485667471360/7IQwQZcN.jpg","View")</f>
        <v>View</v>
      </c>
    </row>
    <row r="1381" spans="1:21" ht="30.6">
      <c r="A1381" s="6">
        <v>43437.841226851851</v>
      </c>
      <c r="B1381" s="7" t="str">
        <f>HYPERLINK("https://twitter.com/Comunase","@Comunase")</f>
        <v>@Comunase</v>
      </c>
      <c r="C1381" s="8" t="s">
        <v>4705</v>
      </c>
      <c r="D1381" s="9" t="s">
        <v>4759</v>
      </c>
      <c r="E1381" s="10" t="str">
        <f>HYPERLINK("https://twitter.com/Comunase/status/1069670445769736193","1069670445769736193")</f>
        <v>1069670445769736193</v>
      </c>
      <c r="F1381" s="12"/>
      <c r="G1381" s="12"/>
      <c r="H1381" s="12"/>
      <c r="I1381" s="13">
        <v>7</v>
      </c>
      <c r="J1381" s="13">
        <v>17</v>
      </c>
      <c r="K1381" s="14" t="str">
        <f>HYPERLINK("http://twitter.com/download/android","Twitter for Android")</f>
        <v>Twitter for Android</v>
      </c>
      <c r="L1381" s="13">
        <v>14561</v>
      </c>
      <c r="M1381" s="13">
        <v>555</v>
      </c>
      <c r="N1381" s="13">
        <v>264</v>
      </c>
      <c r="O1381" s="15"/>
      <c r="P1381" s="6">
        <v>40893.825173611112</v>
      </c>
      <c r="Q1381" s="16" t="s">
        <v>4707</v>
      </c>
      <c r="R1381" s="17" t="s">
        <v>4708</v>
      </c>
      <c r="S1381" s="12"/>
      <c r="T1381" s="12"/>
      <c r="U1381" s="10" t="str">
        <f>HYPERLINK("https://pbs.twimg.com/profile_images/1057328994775953414/YcqO1jg-.jpg","View")</f>
        <v>View</v>
      </c>
    </row>
    <row r="1382" spans="1:21" ht="20.399999999999999">
      <c r="A1382" s="6">
        <v>43437.840370370366</v>
      </c>
      <c r="B1382" s="7" t="str">
        <f>HYPERLINK("https://twitter.com/GlezFeder","@GlezFeder")</f>
        <v>@GlezFeder</v>
      </c>
      <c r="C1382" s="8" t="s">
        <v>4760</v>
      </c>
      <c r="D1382" s="9" t="s">
        <v>4761</v>
      </c>
      <c r="E1382" s="10" t="str">
        <f>HYPERLINK("https://twitter.com/GlezFeder/status/1069670137001926661","1069670137001926661")</f>
        <v>1069670137001926661</v>
      </c>
      <c r="F1382" s="11" t="s">
        <v>4762</v>
      </c>
      <c r="G1382" s="12"/>
      <c r="H1382" s="12"/>
      <c r="I1382" s="13">
        <v>0</v>
      </c>
      <c r="J1382" s="13">
        <v>0</v>
      </c>
      <c r="K1382" s="14" t="str">
        <f>HYPERLINK("http://twitter.com","Twitter Web Client")</f>
        <v>Twitter Web Client</v>
      </c>
      <c r="L1382" s="13">
        <v>237</v>
      </c>
      <c r="M1382" s="13">
        <v>267</v>
      </c>
      <c r="N1382" s="13">
        <v>2</v>
      </c>
      <c r="O1382" s="15"/>
      <c r="P1382" s="6">
        <v>43247.825613425928</v>
      </c>
      <c r="Q1382" s="16" t="s">
        <v>4763</v>
      </c>
      <c r="R1382" s="17" t="s">
        <v>4764</v>
      </c>
      <c r="S1382" s="12"/>
      <c r="T1382" s="12"/>
      <c r="U1382" s="10" t="str">
        <f>HYPERLINK("https://pbs.twimg.com/profile_images/1060247976700973056/3K9K-vjB.jpg","View")</f>
        <v>View</v>
      </c>
    </row>
    <row r="1383" spans="1:21" ht="20.399999999999999">
      <c r="A1383" s="6">
        <v>43437.836516203708</v>
      </c>
      <c r="B1383" s="7" t="str">
        <f>HYPERLINK("https://twitter.com/sanchez_jj","@sanchez_jj")</f>
        <v>@sanchez_jj</v>
      </c>
      <c r="C1383" s="8" t="s">
        <v>4765</v>
      </c>
      <c r="D1383" s="9" t="s">
        <v>4766</v>
      </c>
      <c r="E1383" s="10" t="str">
        <f>HYPERLINK("https://twitter.com/sanchez_jj/status/1069668739266707457","1069668739266707457")</f>
        <v>1069668739266707457</v>
      </c>
      <c r="F1383" s="11" t="s">
        <v>4767</v>
      </c>
      <c r="G1383" s="12"/>
      <c r="H1383" s="12"/>
      <c r="I1383" s="13">
        <v>0</v>
      </c>
      <c r="J1383" s="13">
        <v>0</v>
      </c>
      <c r="K1383" s="14" t="str">
        <f>HYPERLINK("http://twitter.com/download/iphone","Twitter for iPhone")</f>
        <v>Twitter for iPhone</v>
      </c>
      <c r="L1383" s="13">
        <v>33418</v>
      </c>
      <c r="M1383" s="13">
        <v>336</v>
      </c>
      <c r="N1383" s="13">
        <v>194</v>
      </c>
      <c r="O1383" s="15"/>
      <c r="P1383" s="6">
        <v>40400.572164351848</v>
      </c>
      <c r="Q1383" s="16" t="s">
        <v>1455</v>
      </c>
      <c r="R1383" s="17" t="s">
        <v>4768</v>
      </c>
      <c r="S1383" s="11" t="s">
        <v>4769</v>
      </c>
      <c r="T1383" s="12"/>
      <c r="U1383" s="10" t="str">
        <f>HYPERLINK("https://pbs.twimg.com/profile_images/1046883626409963520/R-HaWhoc.jpg","View")</f>
        <v>View</v>
      </c>
    </row>
    <row r="1384" spans="1:21" ht="40.799999999999997">
      <c r="A1384" s="6">
        <v>43437.829548611116</v>
      </c>
      <c r="B1384" s="7" t="str">
        <f t="shared" ref="B1384:B1385" si="239">HYPERLINK("https://twitter.com/compromtido22","@compromtido22")</f>
        <v>@compromtido22</v>
      </c>
      <c r="C1384" s="8" t="s">
        <v>702</v>
      </c>
      <c r="D1384" s="9" t="s">
        <v>4770</v>
      </c>
      <c r="E1384" s="10" t="str">
        <f>HYPERLINK("https://twitter.com/compromtido22/status/1069666214388133888","1069666214388133888")</f>
        <v>1069666214388133888</v>
      </c>
      <c r="F1384" s="12"/>
      <c r="G1384" s="12"/>
      <c r="H1384" s="12"/>
      <c r="I1384" s="13">
        <v>0</v>
      </c>
      <c r="J1384" s="13">
        <v>0</v>
      </c>
      <c r="K1384" s="14" t="str">
        <f t="shared" ref="K1384:K1385" si="240">HYPERLINK("http://twitter.com/download/android","Twitter for Android")</f>
        <v>Twitter for Android</v>
      </c>
      <c r="L1384" s="13">
        <v>955</v>
      </c>
      <c r="M1384" s="13">
        <v>858</v>
      </c>
      <c r="N1384" s="13">
        <v>15</v>
      </c>
      <c r="O1384" s="15"/>
      <c r="P1384" s="6">
        <v>42411.832291666666</v>
      </c>
      <c r="Q1384" s="12"/>
      <c r="R1384" s="17" t="s">
        <v>704</v>
      </c>
      <c r="S1384" s="12"/>
      <c r="T1384" s="12"/>
      <c r="U1384" s="10" t="str">
        <f t="shared" ref="U1384:U1385" si="241">HYPERLINK("https://pbs.twimg.com/profile_images/1062806370267860993/RfSkyzB-.jpg","View")</f>
        <v>View</v>
      </c>
    </row>
    <row r="1385" spans="1:21" ht="40.799999999999997">
      <c r="A1385" s="6">
        <v>43437.828472222223</v>
      </c>
      <c r="B1385" s="7" t="str">
        <f t="shared" si="239"/>
        <v>@compromtido22</v>
      </c>
      <c r="C1385" s="8" t="s">
        <v>702</v>
      </c>
      <c r="D1385" s="9" t="s">
        <v>4771</v>
      </c>
      <c r="E1385" s="10" t="str">
        <f>HYPERLINK("https://twitter.com/compromtido22/status/1069665824871452672","1069665824871452672")</f>
        <v>1069665824871452672</v>
      </c>
      <c r="F1385" s="12"/>
      <c r="G1385" s="12"/>
      <c r="H1385" s="12"/>
      <c r="I1385" s="13">
        <v>0</v>
      </c>
      <c r="J1385" s="13">
        <v>0</v>
      </c>
      <c r="K1385" s="14" t="str">
        <f t="shared" si="240"/>
        <v>Twitter for Android</v>
      </c>
      <c r="L1385" s="13">
        <v>955</v>
      </c>
      <c r="M1385" s="13">
        <v>858</v>
      </c>
      <c r="N1385" s="13">
        <v>15</v>
      </c>
      <c r="O1385" s="15"/>
      <c r="P1385" s="6">
        <v>42411.832291666666</v>
      </c>
      <c r="Q1385" s="12"/>
      <c r="R1385" s="17" t="s">
        <v>704</v>
      </c>
      <c r="S1385" s="12"/>
      <c r="T1385" s="12"/>
      <c r="U1385" s="10" t="str">
        <f t="shared" si="241"/>
        <v>View</v>
      </c>
    </row>
    <row r="1386" spans="1:21" ht="20.399999999999999">
      <c r="A1386" s="6">
        <v>43437.826412037037</v>
      </c>
      <c r="B1386" s="7" t="str">
        <f>HYPERLINK("https://twitter.com/MarianoJuanGua1","@MarianoJuanGua1")</f>
        <v>@MarianoJuanGua1</v>
      </c>
      <c r="C1386" s="8" t="s">
        <v>4772</v>
      </c>
      <c r="D1386" s="9" t="s">
        <v>4773</v>
      </c>
      <c r="E1386" s="10" t="str">
        <f>HYPERLINK("https://twitter.com/MarianoJuanGua1/status/1069665079212285953","1069665079212285953")</f>
        <v>1069665079212285953</v>
      </c>
      <c r="F1386" s="11" t="s">
        <v>4774</v>
      </c>
      <c r="G1386" s="12"/>
      <c r="H1386" s="12"/>
      <c r="I1386" s="13">
        <v>0</v>
      </c>
      <c r="J1386" s="13">
        <v>0</v>
      </c>
      <c r="K1386" s="14" t="str">
        <f>HYPERLINK("https://periscope.tv","Periscope")</f>
        <v>Periscope</v>
      </c>
      <c r="L1386" s="13">
        <v>503</v>
      </c>
      <c r="M1386" s="13">
        <v>129</v>
      </c>
      <c r="N1386" s="13">
        <v>5</v>
      </c>
      <c r="O1386" s="15"/>
      <c r="P1386" s="6">
        <v>41097.959699074076</v>
      </c>
      <c r="Q1386" s="16" t="s">
        <v>4775</v>
      </c>
      <c r="R1386" s="20"/>
      <c r="S1386" s="12"/>
      <c r="T1386" s="12"/>
      <c r="U1386" s="10" t="str">
        <f>HYPERLINK("https://pbs.twimg.com/profile_images/639369903162720256/TSyAydEi.jpg","View")</f>
        <v>View</v>
      </c>
    </row>
    <row r="1387" spans="1:21" ht="51">
      <c r="A1387" s="6">
        <v>43437.825891203705</v>
      </c>
      <c r="B1387" s="7" t="str">
        <f>HYPERLINK("https://twitter.com/_94ire","@_94ire")</f>
        <v>@_94ire</v>
      </c>
      <c r="C1387" s="8" t="s">
        <v>4776</v>
      </c>
      <c r="D1387" s="9" t="s">
        <v>4777</v>
      </c>
      <c r="E1387" s="10" t="str">
        <f>HYPERLINK("https://twitter.com/_94ire/status/1069664888912519169","1069664888912519169")</f>
        <v>1069664888912519169</v>
      </c>
      <c r="F1387" s="12"/>
      <c r="G1387" s="12"/>
      <c r="H1387" s="12"/>
      <c r="I1387" s="13">
        <v>0</v>
      </c>
      <c r="J1387" s="13">
        <v>1</v>
      </c>
      <c r="K1387" s="14" t="str">
        <f>HYPERLINK("http://twitter.com/download/android","Twitter for Android")</f>
        <v>Twitter for Android</v>
      </c>
      <c r="L1387" s="13">
        <v>557</v>
      </c>
      <c r="M1387" s="13">
        <v>456</v>
      </c>
      <c r="N1387" s="13">
        <v>5</v>
      </c>
      <c r="O1387" s="15"/>
      <c r="P1387" s="6">
        <v>40127.729884259257</v>
      </c>
      <c r="Q1387" s="16" t="s">
        <v>191</v>
      </c>
      <c r="R1387" s="17" t="s">
        <v>4778</v>
      </c>
      <c r="S1387" s="11" t="s">
        <v>4779</v>
      </c>
      <c r="T1387" s="12"/>
      <c r="U1387" s="10" t="str">
        <f>HYPERLINK("https://pbs.twimg.com/profile_images/1052687451305771013/dAcybXlo.jpg","View")</f>
        <v>View</v>
      </c>
    </row>
    <row r="1388" spans="1:21" ht="30.6">
      <c r="A1388" s="6">
        <v>43437.824293981481</v>
      </c>
      <c r="B1388" s="7" t="str">
        <f>HYPERLINK("https://twitter.com/EduPicchi","@EduPicchi")</f>
        <v>@EduPicchi</v>
      </c>
      <c r="C1388" s="8" t="s">
        <v>4780</v>
      </c>
      <c r="D1388" s="9" t="s">
        <v>4781</v>
      </c>
      <c r="E1388" s="10" t="str">
        <f>HYPERLINK("https://twitter.com/EduPicchi/status/1069664311566569473","1069664311566569473")</f>
        <v>1069664311566569473</v>
      </c>
      <c r="F1388" s="11" t="s">
        <v>4782</v>
      </c>
      <c r="G1388" s="12"/>
      <c r="H1388" s="12"/>
      <c r="I1388" s="13">
        <v>0</v>
      </c>
      <c r="J1388" s="13">
        <v>1</v>
      </c>
      <c r="K1388" s="14" t="str">
        <f>HYPERLINK("http://twitter.com","Twitter Web Client")</f>
        <v>Twitter Web Client</v>
      </c>
      <c r="L1388" s="13">
        <v>551</v>
      </c>
      <c r="M1388" s="13">
        <v>895</v>
      </c>
      <c r="N1388" s="13">
        <v>1</v>
      </c>
      <c r="O1388" s="15"/>
      <c r="P1388" s="6">
        <v>40673.733854166669</v>
      </c>
      <c r="Q1388" s="16" t="s">
        <v>4295</v>
      </c>
      <c r="R1388" s="17" t="s">
        <v>4783</v>
      </c>
      <c r="S1388" s="11" t="s">
        <v>4784</v>
      </c>
      <c r="T1388" s="12"/>
      <c r="U1388" s="10" t="str">
        <f>HYPERLINK("https://pbs.twimg.com/profile_images/781413625152012288/00fTfsPV.jpg","View")</f>
        <v>View</v>
      </c>
    </row>
    <row r="1389" spans="1:21" ht="20.399999999999999">
      <c r="A1389" s="6">
        <v>43437.82335648148</v>
      </c>
      <c r="B1389" s="7" t="str">
        <f>HYPERLINK("https://twitter.com/DonViggo2","@DonViggo2")</f>
        <v>@DonViggo2</v>
      </c>
      <c r="C1389" s="8" t="s">
        <v>4785</v>
      </c>
      <c r="D1389" s="9" t="s">
        <v>4786</v>
      </c>
      <c r="E1389" s="10" t="str">
        <f>HYPERLINK("https://twitter.com/DonViggo2/status/1069663967969189889","1069663967969189889")</f>
        <v>1069663967969189889</v>
      </c>
      <c r="F1389" s="12"/>
      <c r="G1389" s="12"/>
      <c r="H1389" s="12"/>
      <c r="I1389" s="13">
        <v>0</v>
      </c>
      <c r="J1389" s="13">
        <v>0</v>
      </c>
      <c r="K1389" s="14" t="str">
        <f t="shared" ref="K1389:K1390" si="242">HYPERLINK("http://twitter.com/download/android","Twitter for Android")</f>
        <v>Twitter for Android</v>
      </c>
      <c r="L1389" s="13">
        <v>257</v>
      </c>
      <c r="M1389" s="13">
        <v>469</v>
      </c>
      <c r="N1389" s="13">
        <v>7</v>
      </c>
      <c r="O1389" s="15"/>
      <c r="P1389" s="6">
        <v>40785.238611111112</v>
      </c>
      <c r="Q1389" s="12"/>
      <c r="R1389" s="17" t="s">
        <v>4787</v>
      </c>
      <c r="S1389" s="11" t="s">
        <v>4788</v>
      </c>
      <c r="T1389" s="12"/>
      <c r="U1389" s="10" t="str">
        <f>HYPERLINK("https://pbs.twimg.com/profile_images/981879766612611072/FeqJx60V.jpg","View")</f>
        <v>View</v>
      </c>
    </row>
    <row r="1390" spans="1:21" ht="20.399999999999999">
      <c r="A1390" s="6">
        <v>43437.823124999995</v>
      </c>
      <c r="B1390" s="7" t="str">
        <f>HYPERLINK("https://twitter.com/Xinista","@Xinista")</f>
        <v>@Xinista</v>
      </c>
      <c r="C1390" s="8" t="s">
        <v>4789</v>
      </c>
      <c r="D1390" s="9" t="s">
        <v>4444</v>
      </c>
      <c r="E1390" s="10" t="str">
        <f>HYPERLINK("https://twitter.com/Xinista/status/1069663884724920326","1069663884724920326")</f>
        <v>1069663884724920326</v>
      </c>
      <c r="F1390" s="11" t="s">
        <v>3698</v>
      </c>
      <c r="G1390" s="12"/>
      <c r="H1390" s="12"/>
      <c r="I1390" s="13">
        <v>0</v>
      </c>
      <c r="J1390" s="13">
        <v>0</v>
      </c>
      <c r="K1390" s="14" t="str">
        <f t="shared" si="242"/>
        <v>Twitter for Android</v>
      </c>
      <c r="L1390" s="13">
        <v>97</v>
      </c>
      <c r="M1390" s="13">
        <v>310</v>
      </c>
      <c r="N1390" s="13">
        <v>3</v>
      </c>
      <c r="O1390" s="15"/>
      <c r="P1390" s="6">
        <v>40030.748194444444</v>
      </c>
      <c r="Q1390" s="16" t="s">
        <v>4790</v>
      </c>
      <c r="R1390" s="17" t="s">
        <v>4791</v>
      </c>
      <c r="S1390" s="12"/>
      <c r="T1390" s="12"/>
      <c r="U1390" s="10" t="str">
        <f>HYPERLINK("https://pbs.twimg.com/profile_images/605837727309766656/owaQO9mt.jpg","View")</f>
        <v>View</v>
      </c>
    </row>
    <row r="1391" spans="1:21" ht="40.799999999999997">
      <c r="A1391" s="6">
        <v>43437.822280092594</v>
      </c>
      <c r="B1391" s="7" t="str">
        <f>HYPERLINK("https://twitter.com/OrtizPrez","@OrtizPrez")</f>
        <v>@OrtizPrez</v>
      </c>
      <c r="C1391" s="8" t="s">
        <v>4792</v>
      </c>
      <c r="D1391" s="9" t="s">
        <v>4489</v>
      </c>
      <c r="E1391" s="10" t="str">
        <f>HYPERLINK("https://twitter.com/OrtizPrez/status/1069663581023682562","1069663581023682562")</f>
        <v>1069663581023682562</v>
      </c>
      <c r="F1391" s="11" t="s">
        <v>4093</v>
      </c>
      <c r="G1391" s="12"/>
      <c r="H1391" s="12"/>
      <c r="I1391" s="13">
        <v>2</v>
      </c>
      <c r="J1391" s="13">
        <v>0</v>
      </c>
      <c r="K1391" s="14" t="str">
        <f t="shared" ref="K1391:K1393" si="243">HYPERLINK("http://twitter.com","Twitter Web Client")</f>
        <v>Twitter Web Client</v>
      </c>
      <c r="L1391" s="13">
        <v>758</v>
      </c>
      <c r="M1391" s="13">
        <v>909</v>
      </c>
      <c r="N1391" s="13">
        <v>10</v>
      </c>
      <c r="O1391" s="15"/>
      <c r="P1391" s="6">
        <v>40827.555219907408</v>
      </c>
      <c r="Q1391" s="16" t="s">
        <v>48</v>
      </c>
      <c r="R1391" s="17" t="s">
        <v>4793</v>
      </c>
      <c r="S1391" s="12"/>
      <c r="T1391" s="12"/>
      <c r="U1391" s="10" t="str">
        <f>HYPERLINK("https://pbs.twimg.com/profile_images/378800000273502463/dd67849542b55c148c271d885e233633.jpeg","View")</f>
        <v>View</v>
      </c>
    </row>
    <row r="1392" spans="1:21" ht="30.6">
      <c r="A1392" s="6">
        <v>43437.820810185185</v>
      </c>
      <c r="B1392" s="7" t="str">
        <f>HYPERLINK("https://twitter.com/angelgarex","@angelgarex")</f>
        <v>@angelgarex</v>
      </c>
      <c r="C1392" s="8" t="s">
        <v>4794</v>
      </c>
      <c r="D1392" s="9" t="s">
        <v>4795</v>
      </c>
      <c r="E1392" s="10" t="str">
        <f>HYPERLINK("https://twitter.com/angelgarex/status/1069663045507563520","1069663045507563520")</f>
        <v>1069663045507563520</v>
      </c>
      <c r="F1392" s="11" t="s">
        <v>4093</v>
      </c>
      <c r="G1392" s="12"/>
      <c r="H1392" s="12"/>
      <c r="I1392" s="13">
        <v>1</v>
      </c>
      <c r="J1392" s="13">
        <v>0</v>
      </c>
      <c r="K1392" s="14" t="str">
        <f t="shared" si="243"/>
        <v>Twitter Web Client</v>
      </c>
      <c r="L1392" s="13">
        <v>4758</v>
      </c>
      <c r="M1392" s="13">
        <v>1519</v>
      </c>
      <c r="N1392" s="13">
        <v>93</v>
      </c>
      <c r="O1392" s="15"/>
      <c r="P1392" s="6">
        <v>40017.607581018521</v>
      </c>
      <c r="Q1392" s="16" t="s">
        <v>4796</v>
      </c>
      <c r="R1392" s="17" t="s">
        <v>4797</v>
      </c>
      <c r="S1392" s="11" t="s">
        <v>4798</v>
      </c>
      <c r="T1392" s="12"/>
      <c r="U1392" s="10" t="str">
        <f>HYPERLINK("https://pbs.twimg.com/profile_images/1071156264858804230/JjqiTQwL.jpg","View")</f>
        <v>View</v>
      </c>
    </row>
    <row r="1393" spans="1:21" ht="40.799999999999997">
      <c r="A1393" s="6">
        <v>43437.816365740742</v>
      </c>
      <c r="B1393" s="7" t="str">
        <f>HYPERLINK("https://twitter.com/xavpal","@xavpal")</f>
        <v>@xavpal</v>
      </c>
      <c r="C1393" s="8" t="s">
        <v>4799</v>
      </c>
      <c r="D1393" s="9" t="s">
        <v>4489</v>
      </c>
      <c r="E1393" s="10" t="str">
        <f>HYPERLINK("https://twitter.com/xavpal/status/1069661438069874696","1069661438069874696")</f>
        <v>1069661438069874696</v>
      </c>
      <c r="F1393" s="11" t="s">
        <v>4093</v>
      </c>
      <c r="G1393" s="12"/>
      <c r="H1393" s="12"/>
      <c r="I1393" s="13">
        <v>0</v>
      </c>
      <c r="J1393" s="13">
        <v>0</v>
      </c>
      <c r="K1393" s="14" t="str">
        <f t="shared" si="243"/>
        <v>Twitter Web Client</v>
      </c>
      <c r="L1393" s="13">
        <v>390</v>
      </c>
      <c r="M1393" s="13">
        <v>629</v>
      </c>
      <c r="N1393" s="13">
        <v>8</v>
      </c>
      <c r="O1393" s="15"/>
      <c r="P1393" s="6">
        <v>40569.806689814817</v>
      </c>
      <c r="Q1393" s="16" t="s">
        <v>109</v>
      </c>
      <c r="R1393" s="17" t="s">
        <v>4800</v>
      </c>
      <c r="S1393" s="11" t="s">
        <v>4801</v>
      </c>
      <c r="T1393" s="12"/>
      <c r="U1393" s="10" t="str">
        <f>HYPERLINK("https://pbs.twimg.com/profile_images/1050639055744987136/xum6RiRK.jpg","View")</f>
        <v>View</v>
      </c>
    </row>
    <row r="1394" spans="1:21" ht="30.6">
      <c r="A1394" s="6">
        <v>43437.814884259264</v>
      </c>
      <c r="B1394" s="7" t="str">
        <f t="shared" ref="B1394:B1395" si="244">HYPERLINK("https://twitter.com/Lagaceta08","@Lagaceta08")</f>
        <v>@Lagaceta08</v>
      </c>
      <c r="C1394" s="8" t="s">
        <v>4802</v>
      </c>
      <c r="D1394" s="9" t="s">
        <v>4803</v>
      </c>
      <c r="E1394" s="10" t="str">
        <f>HYPERLINK("https://twitter.com/Lagaceta08/status/1069660898334203904","1069660898334203904")</f>
        <v>1069660898334203904</v>
      </c>
      <c r="F1394" s="11" t="s">
        <v>4804</v>
      </c>
      <c r="G1394" s="12"/>
      <c r="H1394" s="12"/>
      <c r="I1394" s="13">
        <v>0</v>
      </c>
      <c r="J1394" s="13">
        <v>0</v>
      </c>
      <c r="K1394" s="14" t="str">
        <f>HYPERLINK("http://www.facebook.com/twitter","Facebook")</f>
        <v>Facebook</v>
      </c>
      <c r="L1394" s="13">
        <v>2511</v>
      </c>
      <c r="M1394" s="13">
        <v>3599</v>
      </c>
      <c r="N1394" s="13">
        <v>54</v>
      </c>
      <c r="O1394" s="15"/>
      <c r="P1394" s="6">
        <v>40834.8203125</v>
      </c>
      <c r="Q1394" s="16" t="s">
        <v>4805</v>
      </c>
      <c r="R1394" s="17" t="s">
        <v>4806</v>
      </c>
      <c r="S1394" s="11" t="s">
        <v>4807</v>
      </c>
      <c r="T1394" s="12"/>
      <c r="U1394" s="10" t="str">
        <f t="shared" ref="U1394:U1395" si="245">HYPERLINK("https://pbs.twimg.com/profile_images/1783120022/image.jpg","View")</f>
        <v>View</v>
      </c>
    </row>
    <row r="1395" spans="1:21" ht="20.399999999999999">
      <c r="A1395" s="6">
        <v>43437.814791666664</v>
      </c>
      <c r="B1395" s="7" t="str">
        <f t="shared" si="244"/>
        <v>@Lagaceta08</v>
      </c>
      <c r="C1395" s="8" t="s">
        <v>4802</v>
      </c>
      <c r="D1395" s="9" t="s">
        <v>4808</v>
      </c>
      <c r="E1395" s="10" t="str">
        <f>HYPERLINK("https://twitter.com/Lagaceta08/status/1069660867493617666","1069660867493617666")</f>
        <v>1069660867493617666</v>
      </c>
      <c r="F1395" s="11" t="s">
        <v>4804</v>
      </c>
      <c r="G1395" s="11" t="s">
        <v>4809</v>
      </c>
      <c r="H1395" s="12"/>
      <c r="I1395" s="13">
        <v>0</v>
      </c>
      <c r="J1395" s="13">
        <v>0</v>
      </c>
      <c r="K1395" s="14" t="str">
        <f>HYPERLINK("http://publicize.wp.com/","WordPress.com")</f>
        <v>WordPress.com</v>
      </c>
      <c r="L1395" s="13">
        <v>2511</v>
      </c>
      <c r="M1395" s="13">
        <v>3599</v>
      </c>
      <c r="N1395" s="13">
        <v>54</v>
      </c>
      <c r="O1395" s="15"/>
      <c r="P1395" s="6">
        <v>40834.8203125</v>
      </c>
      <c r="Q1395" s="16" t="s">
        <v>4805</v>
      </c>
      <c r="R1395" s="17" t="s">
        <v>4806</v>
      </c>
      <c r="S1395" s="11" t="s">
        <v>4807</v>
      </c>
      <c r="T1395" s="12"/>
      <c r="U1395" s="10" t="str">
        <f t="shared" si="245"/>
        <v>View</v>
      </c>
    </row>
    <row r="1396" spans="1:21" ht="40.799999999999997">
      <c r="A1396" s="6">
        <v>43437.814097222217</v>
      </c>
      <c r="B1396" s="7" t="str">
        <f>HYPERLINK("https://twitter.com/Mercg","@Mercg")</f>
        <v>@Mercg</v>
      </c>
      <c r="C1396" s="8" t="s">
        <v>4810</v>
      </c>
      <c r="D1396" s="9" t="s">
        <v>4811</v>
      </c>
      <c r="E1396" s="10" t="str">
        <f>HYPERLINK("https://twitter.com/Mercg/status/1069660615227129856","1069660615227129856")</f>
        <v>1069660615227129856</v>
      </c>
      <c r="F1396" s="12"/>
      <c r="G1396" s="12"/>
      <c r="H1396" s="12"/>
      <c r="I1396" s="13">
        <v>0</v>
      </c>
      <c r="J1396" s="13">
        <v>0</v>
      </c>
      <c r="K1396" s="14" t="str">
        <f>HYPERLINK("http://twitter.com/download/android","Twitter for Android")</f>
        <v>Twitter for Android</v>
      </c>
      <c r="L1396" s="13">
        <v>456</v>
      </c>
      <c r="M1396" s="13">
        <v>280</v>
      </c>
      <c r="N1396" s="13">
        <v>38</v>
      </c>
      <c r="O1396" s="15"/>
      <c r="P1396" s="6">
        <v>39952.858217592591</v>
      </c>
      <c r="Q1396" s="16" t="s">
        <v>4812</v>
      </c>
      <c r="R1396" s="17" t="s">
        <v>4813</v>
      </c>
      <c r="S1396" s="12"/>
      <c r="T1396" s="12"/>
      <c r="U1396" s="10" t="str">
        <f>HYPERLINK("https://pbs.twimg.com/profile_images/1059634845083553792/w65nUTeN.jpg","View")</f>
        <v>View</v>
      </c>
    </row>
    <row r="1397" spans="1:21" ht="20.399999999999999">
      <c r="A1397" s="6">
        <v>43437.811724537038</v>
      </c>
      <c r="B1397" s="7" t="str">
        <f>HYPERLINK("https://twitter.com/Carloscabos76","@Carloscabos76")</f>
        <v>@Carloscabos76</v>
      </c>
      <c r="C1397" s="8" t="s">
        <v>4814</v>
      </c>
      <c r="D1397" s="9" t="s">
        <v>4815</v>
      </c>
      <c r="E1397" s="10" t="str">
        <f>HYPERLINK("https://twitter.com/Carloscabos76/status/1069659755986239491","1069659755986239491")</f>
        <v>1069659755986239491</v>
      </c>
      <c r="F1397" s="12"/>
      <c r="G1397" s="12"/>
      <c r="H1397" s="12"/>
      <c r="I1397" s="13">
        <v>0</v>
      </c>
      <c r="J1397" s="13">
        <v>0</v>
      </c>
      <c r="K1397" s="14" t="str">
        <f>HYPERLINK("http://www.facebook.com/twitter","Facebook")</f>
        <v>Facebook</v>
      </c>
      <c r="L1397" s="13">
        <v>188</v>
      </c>
      <c r="M1397" s="13">
        <v>339</v>
      </c>
      <c r="N1397" s="13">
        <v>5</v>
      </c>
      <c r="O1397" s="15"/>
      <c r="P1397" s="6">
        <v>40608.848171296297</v>
      </c>
      <c r="Q1397" s="16" t="s">
        <v>4816</v>
      </c>
      <c r="R1397" s="20"/>
      <c r="S1397" s="12"/>
      <c r="T1397" s="12"/>
      <c r="U1397" s="10" t="str">
        <f>HYPERLINK("https://pbs.twimg.com/profile_images/1062659103967846400/x65v3BdB.jpg","View")</f>
        <v>View</v>
      </c>
    </row>
    <row r="1398" spans="1:21" ht="30.6">
      <c r="A1398" s="6">
        <v>43437.811608796299</v>
      </c>
      <c r="B1398" s="7" t="str">
        <f>HYPERLINK("https://twitter.com/MissMourelle","@MissMourelle")</f>
        <v>@MissMourelle</v>
      </c>
      <c r="C1398" s="8" t="s">
        <v>4817</v>
      </c>
      <c r="D1398" s="9" t="s">
        <v>4818</v>
      </c>
      <c r="E1398" s="10" t="str">
        <f>HYPERLINK("https://twitter.com/MissMourelle/status/1069659711639879680","1069659711639879680")</f>
        <v>1069659711639879680</v>
      </c>
      <c r="F1398" s="12"/>
      <c r="G1398" s="12"/>
      <c r="H1398" s="12"/>
      <c r="I1398" s="13">
        <v>0</v>
      </c>
      <c r="J1398" s="13">
        <v>0</v>
      </c>
      <c r="K1398" s="14" t="str">
        <f>HYPERLINK("http://twitter.com","Twitter Web Client")</f>
        <v>Twitter Web Client</v>
      </c>
      <c r="L1398" s="13">
        <v>510</v>
      </c>
      <c r="M1398" s="13">
        <v>274</v>
      </c>
      <c r="N1398" s="13">
        <v>10</v>
      </c>
      <c r="O1398" s="15"/>
      <c r="P1398" s="6">
        <v>39873.767905092594</v>
      </c>
      <c r="Q1398" s="16" t="s">
        <v>4819</v>
      </c>
      <c r="R1398" s="17" t="s">
        <v>4820</v>
      </c>
      <c r="S1398" s="11" t="s">
        <v>4821</v>
      </c>
      <c r="T1398" s="12"/>
      <c r="U1398" s="10" t="str">
        <f>HYPERLINK("https://pbs.twimg.com/profile_images/1065681457044209664/R5XpRFC5.jpg","View")</f>
        <v>View</v>
      </c>
    </row>
    <row r="1399" spans="1:21" ht="30.6">
      <c r="A1399" s="6">
        <v>43437.811273148152</v>
      </c>
      <c r="B1399" s="7" t="str">
        <f>HYPERLINK("https://twitter.com/odalbat","@odalbat")</f>
        <v>@odalbat</v>
      </c>
      <c r="C1399" s="8" t="s">
        <v>4822</v>
      </c>
      <c r="D1399" s="9" t="s">
        <v>4823</v>
      </c>
      <c r="E1399" s="10" t="str">
        <f>HYPERLINK("https://twitter.com/odalbat/status/1069659591150063617","1069659591150063617")</f>
        <v>1069659591150063617</v>
      </c>
      <c r="F1399" s="11" t="s">
        <v>4093</v>
      </c>
      <c r="G1399" s="12"/>
      <c r="H1399" s="12"/>
      <c r="I1399" s="13">
        <v>0</v>
      </c>
      <c r="J1399" s="13">
        <v>0</v>
      </c>
      <c r="K1399" s="14" t="str">
        <f>HYPERLINK("http://twitter.com/download/android","Twitter for Android")</f>
        <v>Twitter for Android</v>
      </c>
      <c r="L1399" s="13">
        <v>204</v>
      </c>
      <c r="M1399" s="13">
        <v>25</v>
      </c>
      <c r="N1399" s="13">
        <v>1</v>
      </c>
      <c r="O1399" s="15"/>
      <c r="P1399" s="6">
        <v>43099.408414351856</v>
      </c>
      <c r="Q1399" s="12"/>
      <c r="R1399" s="17" t="s">
        <v>4824</v>
      </c>
      <c r="S1399" s="12"/>
      <c r="T1399" s="12"/>
      <c r="U1399" s="10" t="str">
        <f>HYPERLINK("https://pbs.twimg.com/profile_images/947043634746183680/OrnF09sW.jpg","View")</f>
        <v>View</v>
      </c>
    </row>
    <row r="1400" spans="1:21" ht="51">
      <c r="A1400" s="6">
        <v>43437.811249999999</v>
      </c>
      <c r="B1400" s="7" t="str">
        <f>HYPERLINK("https://twitter.com/canepus","@canepus")</f>
        <v>@canepus</v>
      </c>
      <c r="C1400" s="8" t="s">
        <v>4825</v>
      </c>
      <c r="D1400" s="9" t="s">
        <v>4826</v>
      </c>
      <c r="E1400" s="10" t="str">
        <f>HYPERLINK("https://twitter.com/canepus/status/1069659581494804481","1069659581494804481")</f>
        <v>1069659581494804481</v>
      </c>
      <c r="F1400" s="12"/>
      <c r="G1400" s="12"/>
      <c r="H1400" s="12"/>
      <c r="I1400" s="13">
        <v>0</v>
      </c>
      <c r="J1400" s="13">
        <v>0</v>
      </c>
      <c r="K1400" s="14" t="str">
        <f>HYPERLINK("http://twitter.com","Twitter Web Client")</f>
        <v>Twitter Web Client</v>
      </c>
      <c r="L1400" s="13">
        <v>28</v>
      </c>
      <c r="M1400" s="13">
        <v>49</v>
      </c>
      <c r="N1400" s="13">
        <v>0</v>
      </c>
      <c r="O1400" s="15"/>
      <c r="P1400" s="6">
        <v>41343.403310185182</v>
      </c>
      <c r="Q1400" s="16" t="s">
        <v>2641</v>
      </c>
      <c r="R1400" s="20"/>
      <c r="S1400" s="11" t="s">
        <v>4827</v>
      </c>
      <c r="T1400" s="12"/>
      <c r="U1400" s="10" t="str">
        <f>HYPERLINK("https://pbs.twimg.com/profile_images/378800000860231890/FsEBP5Md.jpeg","View")</f>
        <v>View</v>
      </c>
    </row>
    <row r="1401" spans="1:21" ht="30.6">
      <c r="A1401" s="6">
        <v>43437.808136574073</v>
      </c>
      <c r="B1401" s="7" t="str">
        <f t="shared" ref="B1401:B1402" si="246">HYPERLINK("https://twitter.com/elhuron2","@elhuron2")</f>
        <v>@elhuron2</v>
      </c>
      <c r="C1401" s="8" t="s">
        <v>780</v>
      </c>
      <c r="D1401" s="9" t="s">
        <v>4828</v>
      </c>
      <c r="E1401" s="10" t="str">
        <f>HYPERLINK("https://twitter.com/elhuron2/status/1069658452434321410","1069658452434321410")</f>
        <v>1069658452434321410</v>
      </c>
      <c r="F1401" s="11" t="s">
        <v>4829</v>
      </c>
      <c r="G1401" s="12"/>
      <c r="H1401" s="12"/>
      <c r="I1401" s="13">
        <v>0</v>
      </c>
      <c r="J1401" s="13">
        <v>0</v>
      </c>
      <c r="K1401" s="14" t="str">
        <f t="shared" ref="K1401:K1402" si="247">HYPERLINK("https://www.google.com/","Google")</f>
        <v>Google</v>
      </c>
      <c r="L1401" s="13">
        <v>412</v>
      </c>
      <c r="M1401" s="13">
        <v>501</v>
      </c>
      <c r="N1401" s="13">
        <v>6</v>
      </c>
      <c r="O1401" s="15"/>
      <c r="P1401" s="6">
        <v>41869.952997685185</v>
      </c>
      <c r="Q1401" s="16" t="s">
        <v>783</v>
      </c>
      <c r="R1401" s="17" t="s">
        <v>784</v>
      </c>
      <c r="S1401" s="11" t="s">
        <v>785</v>
      </c>
      <c r="T1401" s="12"/>
      <c r="U1401" s="10" t="str">
        <f t="shared" ref="U1401:U1402" si="248">HYPERLINK("https://pbs.twimg.com/profile_images/803176150629515264/heYiZScX.jpg","View")</f>
        <v>View</v>
      </c>
    </row>
    <row r="1402" spans="1:21" ht="30.6">
      <c r="A1402" s="6">
        <v>43437.807442129633</v>
      </c>
      <c r="B1402" s="7" t="str">
        <f t="shared" si="246"/>
        <v>@elhuron2</v>
      </c>
      <c r="C1402" s="8" t="s">
        <v>780</v>
      </c>
      <c r="D1402" s="9" t="s">
        <v>4830</v>
      </c>
      <c r="E1402" s="10" t="str">
        <f>HYPERLINK("https://twitter.com/elhuron2/status/1069658203003211777","1069658203003211777")</f>
        <v>1069658203003211777</v>
      </c>
      <c r="F1402" s="11" t="s">
        <v>4829</v>
      </c>
      <c r="G1402" s="12"/>
      <c r="H1402" s="12"/>
      <c r="I1402" s="13">
        <v>0</v>
      </c>
      <c r="J1402" s="13">
        <v>0</v>
      </c>
      <c r="K1402" s="14" t="str">
        <f t="shared" si="247"/>
        <v>Google</v>
      </c>
      <c r="L1402" s="13">
        <v>412</v>
      </c>
      <c r="M1402" s="13">
        <v>501</v>
      </c>
      <c r="N1402" s="13">
        <v>6</v>
      </c>
      <c r="O1402" s="15"/>
      <c r="P1402" s="6">
        <v>41869.952997685185</v>
      </c>
      <c r="Q1402" s="16" t="s">
        <v>783</v>
      </c>
      <c r="R1402" s="17" t="s">
        <v>784</v>
      </c>
      <c r="S1402" s="11" t="s">
        <v>785</v>
      </c>
      <c r="T1402" s="12"/>
      <c r="U1402" s="10" t="str">
        <f t="shared" si="248"/>
        <v>View</v>
      </c>
    </row>
    <row r="1403" spans="1:21" ht="40.799999999999997">
      <c r="A1403" s="6">
        <v>43437.804513888885</v>
      </c>
      <c r="B1403" s="7" t="str">
        <f>HYPERLINK("https://twitter.com/sbr353","@sbr353")</f>
        <v>@sbr353</v>
      </c>
      <c r="C1403" s="8" t="s">
        <v>4831</v>
      </c>
      <c r="D1403" s="9" t="s">
        <v>4832</v>
      </c>
      <c r="E1403" s="10" t="str">
        <f>HYPERLINK("https://twitter.com/sbr353/status/1069657139990405120","1069657139990405120")</f>
        <v>1069657139990405120</v>
      </c>
      <c r="F1403" s="12"/>
      <c r="G1403" s="12"/>
      <c r="H1403" s="12"/>
      <c r="I1403" s="13">
        <v>1</v>
      </c>
      <c r="J1403" s="13">
        <v>2</v>
      </c>
      <c r="K1403" s="14" t="str">
        <f t="shared" ref="K1403:K1404" si="249">HYPERLINK("http://twitter.com/download/android","Twitter for Android")</f>
        <v>Twitter for Android</v>
      </c>
      <c r="L1403" s="13">
        <v>122</v>
      </c>
      <c r="M1403" s="13">
        <v>279</v>
      </c>
      <c r="N1403" s="13">
        <v>0</v>
      </c>
      <c r="O1403" s="15"/>
      <c r="P1403" s="6">
        <v>42755.856874999998</v>
      </c>
      <c r="Q1403" s="12"/>
      <c r="R1403" s="20"/>
      <c r="S1403" s="12"/>
      <c r="T1403" s="12"/>
      <c r="U1403" s="10" t="str">
        <f>HYPERLINK("https://pbs.twimg.com/profile_images/1003060295357665281/jgNC7fJ1.jpg","View")</f>
        <v>View</v>
      </c>
    </row>
    <row r="1404" spans="1:21" ht="30.6">
      <c r="A1404" s="6">
        <v>43437.804467592592</v>
      </c>
      <c r="B1404" s="7" t="str">
        <f>HYPERLINK("https://twitter.com/Eli_F_Ros","@Eli_F_Ros")</f>
        <v>@Eli_F_Ros</v>
      </c>
      <c r="C1404" s="8" t="s">
        <v>4833</v>
      </c>
      <c r="D1404" s="9" t="s">
        <v>4834</v>
      </c>
      <c r="E1404" s="10" t="str">
        <f>HYPERLINK("https://twitter.com/Eli_F_Ros/status/1069657124047863808","1069657124047863808")</f>
        <v>1069657124047863808</v>
      </c>
      <c r="F1404" s="12"/>
      <c r="G1404" s="11" t="s">
        <v>4835</v>
      </c>
      <c r="H1404" s="12"/>
      <c r="I1404" s="13">
        <v>0</v>
      </c>
      <c r="J1404" s="13">
        <v>1</v>
      </c>
      <c r="K1404" s="14" t="str">
        <f t="shared" si="249"/>
        <v>Twitter for Android</v>
      </c>
      <c r="L1404" s="13">
        <v>2987</v>
      </c>
      <c r="M1404" s="13">
        <v>1153</v>
      </c>
      <c r="N1404" s="13">
        <v>20</v>
      </c>
      <c r="O1404" s="15"/>
      <c r="P1404" s="6">
        <v>40688.905868055554</v>
      </c>
      <c r="Q1404" s="16" t="s">
        <v>4836</v>
      </c>
      <c r="R1404" s="17" t="s">
        <v>4837</v>
      </c>
      <c r="S1404" s="12"/>
      <c r="T1404" s="12"/>
      <c r="U1404" s="10" t="str">
        <f>HYPERLINK("https://pbs.twimg.com/profile_images/1063914156527632384/5PDs4oL2.jpg","View")</f>
        <v>View</v>
      </c>
    </row>
    <row r="1405" spans="1:21" ht="20.399999999999999">
      <c r="A1405" s="6">
        <v>43437.804178240738</v>
      </c>
      <c r="B1405" s="7" t="str">
        <f>HYPERLINK("https://twitter.com/antonio_cebrian","@antonio_cebrian")</f>
        <v>@antonio_cebrian</v>
      </c>
      <c r="C1405" s="8" t="s">
        <v>4838</v>
      </c>
      <c r="D1405" s="9" t="s">
        <v>4839</v>
      </c>
      <c r="E1405" s="10" t="str">
        <f>HYPERLINK("https://twitter.com/antonio_cebrian/status/1069657021815894019","1069657021815894019")</f>
        <v>1069657021815894019</v>
      </c>
      <c r="F1405" s="12"/>
      <c r="G1405" s="12"/>
      <c r="H1405" s="12"/>
      <c r="I1405" s="13">
        <v>0</v>
      </c>
      <c r="J1405" s="13">
        <v>0</v>
      </c>
      <c r="K1405" s="14" t="str">
        <f>HYPERLINK("http://twitter.com/download/iphone","Twitter for iPhone")</f>
        <v>Twitter for iPhone</v>
      </c>
      <c r="L1405" s="13">
        <v>129</v>
      </c>
      <c r="M1405" s="13">
        <v>534</v>
      </c>
      <c r="N1405" s="13">
        <v>8</v>
      </c>
      <c r="O1405" s="15"/>
      <c r="P1405" s="6">
        <v>40930.718333333338</v>
      </c>
      <c r="Q1405" s="12"/>
      <c r="R1405" s="17" t="s">
        <v>4840</v>
      </c>
      <c r="S1405" s="12"/>
      <c r="T1405" s="12"/>
      <c r="U1405" s="10" t="str">
        <f>HYPERLINK("https://pbs.twimg.com/profile_images/451744859104481280/XBpzBUOz.jpeg","View")</f>
        <v>View</v>
      </c>
    </row>
    <row r="1406" spans="1:21" ht="51">
      <c r="A1406" s="6">
        <v>43437.803495370375</v>
      </c>
      <c r="B1406" s="7" t="str">
        <f>HYPERLINK("https://twitter.com/valpareno","@valpareno")</f>
        <v>@valpareno</v>
      </c>
      <c r="C1406" s="8" t="s">
        <v>4686</v>
      </c>
      <c r="D1406" s="9" t="s">
        <v>4687</v>
      </c>
      <c r="E1406" s="10" t="str">
        <f>HYPERLINK("https://twitter.com/valpareno/status/1069656772149944321","1069656772149944321")</f>
        <v>1069656772149944321</v>
      </c>
      <c r="F1406" s="12"/>
      <c r="G1406" s="12"/>
      <c r="H1406" s="12"/>
      <c r="I1406" s="13">
        <v>0</v>
      </c>
      <c r="J1406" s="13">
        <v>0</v>
      </c>
      <c r="K1406" s="14" t="str">
        <f t="shared" ref="K1406:K1408" si="250">HYPERLINK("http://twitter.com","Twitter Web Client")</f>
        <v>Twitter Web Client</v>
      </c>
      <c r="L1406" s="13">
        <v>150</v>
      </c>
      <c r="M1406" s="13">
        <v>327</v>
      </c>
      <c r="N1406" s="13">
        <v>0</v>
      </c>
      <c r="O1406" s="15"/>
      <c r="P1406" s="6">
        <v>41942.809710648144</v>
      </c>
      <c r="Q1406" s="12"/>
      <c r="R1406" s="17" t="s">
        <v>4690</v>
      </c>
      <c r="S1406" s="12"/>
      <c r="T1406" s="12"/>
      <c r="U1406" s="10" t="str">
        <f>HYPERLINK("https://pbs.twimg.com/profile_images/528564485070409729/1PoziKUy.jpeg","View")</f>
        <v>View</v>
      </c>
    </row>
    <row r="1407" spans="1:21" ht="51">
      <c r="A1407" s="6">
        <v>43437.802754629629</v>
      </c>
      <c r="B1407" s="7" t="str">
        <f>HYPERLINK("https://twitter.com/LaEtxebarria","@LaEtxebarria")</f>
        <v>@LaEtxebarria</v>
      </c>
      <c r="C1407" s="8" t="s">
        <v>4841</v>
      </c>
      <c r="D1407" s="9" t="s">
        <v>4842</v>
      </c>
      <c r="E1407" s="10" t="str">
        <f>HYPERLINK("https://twitter.com/LaEtxebarria/status/1069656502900789249","1069656502900789249")</f>
        <v>1069656502900789249</v>
      </c>
      <c r="F1407" s="12"/>
      <c r="G1407" s="12"/>
      <c r="H1407" s="12"/>
      <c r="I1407" s="13">
        <v>10</v>
      </c>
      <c r="J1407" s="13">
        <v>41</v>
      </c>
      <c r="K1407" s="14" t="str">
        <f t="shared" si="250"/>
        <v>Twitter Web Client</v>
      </c>
      <c r="L1407" s="13">
        <v>87083</v>
      </c>
      <c r="M1407" s="13">
        <v>3475</v>
      </c>
      <c r="N1407" s="13">
        <v>1101</v>
      </c>
      <c r="O1407" s="15"/>
      <c r="P1407" s="6">
        <v>40575.616886574076</v>
      </c>
      <c r="Q1407" s="16" t="s">
        <v>4843</v>
      </c>
      <c r="R1407" s="17" t="s">
        <v>4844</v>
      </c>
      <c r="S1407" s="11" t="s">
        <v>4845</v>
      </c>
      <c r="T1407" s="12"/>
      <c r="U1407" s="10" t="str">
        <f>HYPERLINK("https://pbs.twimg.com/profile_images/571350539309309952/3fEb_7dV.jpeg","View")</f>
        <v>View</v>
      </c>
    </row>
    <row r="1408" spans="1:21" ht="51">
      <c r="A1408" s="6">
        <v>43437.80133101852</v>
      </c>
      <c r="B1408" s="7" t="str">
        <f>HYPERLINK("https://twitter.com/julianignacio33","@julianignacio33")</f>
        <v>@julianignacio33</v>
      </c>
      <c r="C1408" s="8" t="s">
        <v>4846</v>
      </c>
      <c r="D1408" s="9" t="s">
        <v>4847</v>
      </c>
      <c r="E1408" s="10" t="str">
        <f>HYPERLINK("https://twitter.com/julianignacio33/status/1069655987966132229","1069655987966132229")</f>
        <v>1069655987966132229</v>
      </c>
      <c r="F1408" s="12"/>
      <c r="G1408" s="12"/>
      <c r="H1408" s="12"/>
      <c r="I1408" s="13">
        <v>0</v>
      </c>
      <c r="J1408" s="13">
        <v>0</v>
      </c>
      <c r="K1408" s="14" t="str">
        <f t="shared" si="250"/>
        <v>Twitter Web Client</v>
      </c>
      <c r="L1408" s="13">
        <v>62</v>
      </c>
      <c r="M1408" s="13">
        <v>707</v>
      </c>
      <c r="N1408" s="13">
        <v>0</v>
      </c>
      <c r="O1408" s="15"/>
      <c r="P1408" s="6">
        <v>42856.850844907407</v>
      </c>
      <c r="Q1408" s="12"/>
      <c r="R1408" s="20"/>
      <c r="S1408" s="12"/>
      <c r="T1408" s="12"/>
      <c r="U1408" s="10" t="str">
        <f>HYPERLINK("https://pbs.twimg.com/profile_images/1018202218548297728/EdhmuOKT.jpg","View")</f>
        <v>View</v>
      </c>
    </row>
    <row r="1409" spans="1:21" ht="51">
      <c r="A1409" s="6">
        <v>43437.801157407404</v>
      </c>
      <c r="B1409" s="7" t="str">
        <f>HYPERLINK("https://twitter.com/PaNnIcKaOs","@PaNnIcKaOs")</f>
        <v>@PaNnIcKaOs</v>
      </c>
      <c r="C1409" s="8" t="s">
        <v>4699</v>
      </c>
      <c r="D1409" s="9" t="s">
        <v>4700</v>
      </c>
      <c r="E1409" s="10" t="str">
        <f>HYPERLINK("https://twitter.com/PaNnIcKaOs/status/1069655925928222726","1069655925928222726")</f>
        <v>1069655925928222726</v>
      </c>
      <c r="F1409" s="11" t="s">
        <v>4701</v>
      </c>
      <c r="G1409" s="12"/>
      <c r="H1409" s="12"/>
      <c r="I1409" s="13">
        <v>0</v>
      </c>
      <c r="J1409" s="13">
        <v>0</v>
      </c>
      <c r="K1409" s="14" t="str">
        <f>HYPERLINK("http://twitter.com/download/iphone","Twitter for iPhone")</f>
        <v>Twitter for iPhone</v>
      </c>
      <c r="L1409" s="13">
        <v>373</v>
      </c>
      <c r="M1409" s="13">
        <v>714</v>
      </c>
      <c r="N1409" s="13">
        <v>14</v>
      </c>
      <c r="O1409" s="15"/>
      <c r="P1409" s="6">
        <v>40327.671087962961</v>
      </c>
      <c r="Q1409" s="16" t="s">
        <v>4702</v>
      </c>
      <c r="R1409" s="17" t="s">
        <v>4703</v>
      </c>
      <c r="S1409" s="12"/>
      <c r="T1409" s="12"/>
      <c r="U1409" s="10" t="str">
        <f>HYPERLINK("https://pbs.twimg.com/profile_images/912767047523864577/SWxQs9kF.jpg","View")</f>
        <v>View</v>
      </c>
    </row>
    <row r="1410" spans="1:21" ht="40.799999999999997">
      <c r="A1410" s="6">
        <v>43437.799108796295</v>
      </c>
      <c r="B1410" s="7" t="str">
        <f t="shared" ref="B1410:B1411" si="251">HYPERLINK("https://twitter.com/caval100","@caval100")</f>
        <v>@caval100</v>
      </c>
      <c r="C1410" s="8" t="s">
        <v>72</v>
      </c>
      <c r="D1410" s="9" t="s">
        <v>3728</v>
      </c>
      <c r="E1410" s="10" t="str">
        <f>HYPERLINK("https://twitter.com/caval100/status/1069655184534634496","1069655184534634496")</f>
        <v>1069655184534634496</v>
      </c>
      <c r="F1410" s="11" t="s">
        <v>3729</v>
      </c>
      <c r="G1410" s="12"/>
      <c r="H1410" s="12"/>
      <c r="I1410" s="13">
        <v>0</v>
      </c>
      <c r="J1410" s="13">
        <v>0</v>
      </c>
      <c r="K1410" s="14" t="str">
        <f t="shared" ref="K1410:K1411" si="252">HYPERLINK("http://twitter.com/download/android","Twitter for Android")</f>
        <v>Twitter for Android</v>
      </c>
      <c r="L1410" s="13">
        <v>119343</v>
      </c>
      <c r="M1410" s="13">
        <v>94000</v>
      </c>
      <c r="N1410" s="13">
        <v>982</v>
      </c>
      <c r="O1410" s="15"/>
      <c r="P1410" s="6">
        <v>40079.437094907407</v>
      </c>
      <c r="Q1410" s="16" t="s">
        <v>75</v>
      </c>
      <c r="R1410" s="17" t="s">
        <v>76</v>
      </c>
      <c r="S1410" s="11" t="s">
        <v>77</v>
      </c>
      <c r="T1410" s="12"/>
      <c r="U1410" s="10" t="str">
        <f t="shared" ref="U1410:U1411" si="253">HYPERLINK("https://pbs.twimg.com/profile_images/965350678301429760/uvGI7g8U.jpg","View")</f>
        <v>View</v>
      </c>
    </row>
    <row r="1411" spans="1:21" ht="51">
      <c r="A1411" s="6">
        <v>43437.79896990741</v>
      </c>
      <c r="B1411" s="7" t="str">
        <f t="shared" si="251"/>
        <v>@caval100</v>
      </c>
      <c r="C1411" s="8" t="s">
        <v>72</v>
      </c>
      <c r="D1411" s="9" t="s">
        <v>3799</v>
      </c>
      <c r="E1411" s="10" t="str">
        <f>HYPERLINK("https://twitter.com/caval100/status/1069655133435424768","1069655133435424768")</f>
        <v>1069655133435424768</v>
      </c>
      <c r="F1411" s="11" t="s">
        <v>3729</v>
      </c>
      <c r="G1411" s="12"/>
      <c r="H1411" s="12"/>
      <c r="I1411" s="13">
        <v>0</v>
      </c>
      <c r="J1411" s="13">
        <v>2</v>
      </c>
      <c r="K1411" s="14" t="str">
        <f t="shared" si="252"/>
        <v>Twitter for Android</v>
      </c>
      <c r="L1411" s="13">
        <v>119343</v>
      </c>
      <c r="M1411" s="13">
        <v>94000</v>
      </c>
      <c r="N1411" s="13">
        <v>982</v>
      </c>
      <c r="O1411" s="15"/>
      <c r="P1411" s="6">
        <v>40079.437094907407</v>
      </c>
      <c r="Q1411" s="16" t="s">
        <v>75</v>
      </c>
      <c r="R1411" s="17" t="s">
        <v>76</v>
      </c>
      <c r="S1411" s="11" t="s">
        <v>77</v>
      </c>
      <c r="T1411" s="12"/>
      <c r="U1411" s="10" t="str">
        <f t="shared" si="253"/>
        <v>View</v>
      </c>
    </row>
    <row r="1412" spans="1:21" ht="30.6">
      <c r="A1412" s="6">
        <v>43437.79892361111</v>
      </c>
      <c r="B1412" s="7" t="str">
        <f>HYPERLINK("https://twitter.com/bandolerochato","@bandolerochato")</f>
        <v>@bandolerochato</v>
      </c>
      <c r="C1412" s="8" t="s">
        <v>3748</v>
      </c>
      <c r="D1412" s="9" t="s">
        <v>4848</v>
      </c>
      <c r="E1412" s="10" t="str">
        <f>HYPERLINK("https://twitter.com/bandolerochato/status/1069655115001487360","1069655115001487360")</f>
        <v>1069655115001487360</v>
      </c>
      <c r="F1412" s="12"/>
      <c r="G1412" s="12"/>
      <c r="H1412" s="12"/>
      <c r="I1412" s="13">
        <v>0</v>
      </c>
      <c r="J1412" s="13">
        <v>0</v>
      </c>
      <c r="K1412" s="14" t="str">
        <f>HYPERLINK("http://twitter.com","Twitter Web Client")</f>
        <v>Twitter Web Client</v>
      </c>
      <c r="L1412" s="13">
        <v>647</v>
      </c>
      <c r="M1412" s="13">
        <v>1243</v>
      </c>
      <c r="N1412" s="13">
        <v>1</v>
      </c>
      <c r="O1412" s="15"/>
      <c r="P1412" s="6">
        <v>41331.786111111112</v>
      </c>
      <c r="Q1412" s="12"/>
      <c r="R1412" s="20"/>
      <c r="S1412" s="12"/>
      <c r="T1412" s="12"/>
      <c r="U1412" s="10" t="str">
        <f>HYPERLINK("https://pbs.twimg.com/profile_images/3311607511/c5d8c6c3cc019abcc10619ed8701dc16.jpeg","View")</f>
        <v>View</v>
      </c>
    </row>
    <row r="1413" spans="1:21" ht="30.6">
      <c r="A1413" s="6">
        <v>43437.798125000001</v>
      </c>
      <c r="B1413" s="7" t="str">
        <f>HYPERLINK("https://twitter.com/Jsolsona77","@Jsolsona77")</f>
        <v>@Jsolsona77</v>
      </c>
      <c r="C1413" s="8" t="s">
        <v>4849</v>
      </c>
      <c r="D1413" s="9" t="s">
        <v>4850</v>
      </c>
      <c r="E1413" s="10" t="str">
        <f>HYPERLINK("https://twitter.com/Jsolsona77/status/1069654826806636544","1069654826806636544")</f>
        <v>1069654826806636544</v>
      </c>
      <c r="F1413" s="11" t="s">
        <v>4093</v>
      </c>
      <c r="G1413" s="12"/>
      <c r="H1413" s="12"/>
      <c r="I1413" s="13">
        <v>0</v>
      </c>
      <c r="J1413" s="13">
        <v>0</v>
      </c>
      <c r="K1413" s="14" t="str">
        <f>HYPERLINK("http://twitter.com/download/iphone","Twitter for iPhone")</f>
        <v>Twitter for iPhone</v>
      </c>
      <c r="L1413" s="13">
        <v>77</v>
      </c>
      <c r="M1413" s="13">
        <v>232</v>
      </c>
      <c r="N1413" s="13">
        <v>0</v>
      </c>
      <c r="O1413" s="15"/>
      <c r="P1413" s="6">
        <v>40840.794189814813</v>
      </c>
      <c r="Q1413" s="16" t="s">
        <v>524</v>
      </c>
      <c r="R1413" s="17" t="s">
        <v>4851</v>
      </c>
      <c r="S1413" s="12"/>
      <c r="T1413" s="12"/>
      <c r="U1413" s="10" t="str">
        <f>HYPERLINK("https://pbs.twimg.com/profile_images/2702428149/bc89db3cb4c07f605ace206dc3c717bd.jpeg","View")</f>
        <v>View</v>
      </c>
    </row>
    <row r="1414" spans="1:21" ht="20.399999999999999">
      <c r="A1414" s="6">
        <v>43437.797372685185</v>
      </c>
      <c r="B1414" s="7" t="str">
        <f>HYPERLINK("https://twitter.com/darkblasco","@darkblasco")</f>
        <v>@darkblasco</v>
      </c>
      <c r="C1414" s="8" t="s">
        <v>4852</v>
      </c>
      <c r="D1414" s="9" t="s">
        <v>4489</v>
      </c>
      <c r="E1414" s="10" t="str">
        <f>HYPERLINK("https://twitter.com/darkblasco/status/1069654554965360646","1069654554965360646")</f>
        <v>1069654554965360646</v>
      </c>
      <c r="F1414" s="11" t="s">
        <v>4093</v>
      </c>
      <c r="G1414" s="12"/>
      <c r="H1414" s="12"/>
      <c r="I1414" s="13">
        <v>0</v>
      </c>
      <c r="J1414" s="13">
        <v>0</v>
      </c>
      <c r="K1414" s="14" t="str">
        <f>HYPERLINK("http://twitter.com","Twitter Web Client")</f>
        <v>Twitter Web Client</v>
      </c>
      <c r="L1414" s="13">
        <v>11</v>
      </c>
      <c r="M1414" s="13">
        <v>67</v>
      </c>
      <c r="N1414" s="13">
        <v>0</v>
      </c>
      <c r="O1414" s="15"/>
      <c r="P1414" s="6">
        <v>40965.980023148149</v>
      </c>
      <c r="Q1414" s="12"/>
      <c r="R1414" s="20"/>
      <c r="S1414" s="12"/>
      <c r="T1414" s="12"/>
      <c r="U1414" s="10" t="str">
        <f>HYPERLINK("https://pbs.twimg.com/profile_images/1856347505/cami_madrid.jpg","View")</f>
        <v>View</v>
      </c>
    </row>
    <row r="1415" spans="1:21" ht="30.6">
      <c r="A1415" s="6">
        <v>43437.797048611115</v>
      </c>
      <c r="B1415" s="7" t="str">
        <f>HYPERLINK("https://twitter.com/Sinoquieresque","@Sinoquieresque")</f>
        <v>@Sinoquieresque</v>
      </c>
      <c r="C1415" s="8" t="s">
        <v>4853</v>
      </c>
      <c r="D1415" s="9" t="s">
        <v>4854</v>
      </c>
      <c r="E1415" s="10" t="str">
        <f>HYPERLINK("https://twitter.com/Sinoquieresque/status/1069654437403213824","1069654437403213824")</f>
        <v>1069654437403213824</v>
      </c>
      <c r="F1415" s="11" t="s">
        <v>4855</v>
      </c>
      <c r="G1415" s="12"/>
      <c r="H1415" s="12"/>
      <c r="I1415" s="13">
        <v>1</v>
      </c>
      <c r="J1415" s="13">
        <v>0</v>
      </c>
      <c r="K1415" s="14" t="str">
        <f>HYPERLINK("http://www.facebook.com/twitter","Facebook")</f>
        <v>Facebook</v>
      </c>
      <c r="L1415" s="13">
        <v>562</v>
      </c>
      <c r="M1415" s="13">
        <v>540</v>
      </c>
      <c r="N1415" s="13">
        <v>9</v>
      </c>
      <c r="O1415" s="15"/>
      <c r="P1415" s="6">
        <v>42372.552534722221</v>
      </c>
      <c r="Q1415" s="12"/>
      <c r="R1415" s="17" t="s">
        <v>4856</v>
      </c>
      <c r="S1415" s="12"/>
      <c r="T1415" s="12"/>
      <c r="U1415" s="10" t="str">
        <f>HYPERLINK("https://pbs.twimg.com/profile_images/753708072841965568/eoI6-kkH.jpg","View")</f>
        <v>View</v>
      </c>
    </row>
    <row r="1416" spans="1:21" ht="30.6">
      <c r="A1416" s="6">
        <v>43437.79519675926</v>
      </c>
      <c r="B1416" s="7" t="str">
        <f>HYPERLINK("https://twitter.com/rafadelolmog","@rafadelolmog")</f>
        <v>@rafadelolmog</v>
      </c>
      <c r="C1416" s="8" t="s">
        <v>4858</v>
      </c>
      <c r="D1416" s="9" t="s">
        <v>4859</v>
      </c>
      <c r="E1416" s="10" t="str">
        <f>HYPERLINK("https://twitter.com/rafadelolmog/status/1069653765509341184","1069653765509341184")</f>
        <v>1069653765509341184</v>
      </c>
      <c r="F1416" s="12"/>
      <c r="G1416" s="12"/>
      <c r="H1416" s="12"/>
      <c r="I1416" s="13">
        <v>1</v>
      </c>
      <c r="J1416" s="13">
        <v>9</v>
      </c>
      <c r="K1416" s="14" t="str">
        <f t="shared" ref="K1416:K1417" si="254">HYPERLINK("http://twitter.com","Twitter Web Client")</f>
        <v>Twitter Web Client</v>
      </c>
      <c r="L1416" s="13">
        <v>3227</v>
      </c>
      <c r="M1416" s="13">
        <v>911</v>
      </c>
      <c r="N1416" s="13">
        <v>131</v>
      </c>
      <c r="O1416" s="15"/>
      <c r="P1416" s="6">
        <v>40325.697685185187</v>
      </c>
      <c r="Q1416" s="16" t="s">
        <v>191</v>
      </c>
      <c r="R1416" s="17" t="s">
        <v>4860</v>
      </c>
      <c r="S1416" s="12"/>
      <c r="T1416" s="12"/>
      <c r="U1416" s="10" t="str">
        <f>HYPERLINK("https://pbs.twimg.com/profile_images/681579557397368832/pItsv65b.jpg","View")</f>
        <v>View</v>
      </c>
    </row>
    <row r="1417" spans="1:21" ht="30.6">
      <c r="A1417" s="6">
        <v>43437.790659722217</v>
      </c>
      <c r="B1417" s="7" t="str">
        <f>HYPERLINK("https://twitter.com/ampl48","@ampl48")</f>
        <v>@ampl48</v>
      </c>
      <c r="C1417" s="8" t="s">
        <v>628</v>
      </c>
      <c r="D1417" s="9" t="s">
        <v>4861</v>
      </c>
      <c r="E1417" s="10" t="str">
        <f>HYPERLINK("https://twitter.com/ampl48/status/1069652121660858374","1069652121660858374")</f>
        <v>1069652121660858374</v>
      </c>
      <c r="F1417" s="11" t="s">
        <v>3698</v>
      </c>
      <c r="G1417" s="12"/>
      <c r="H1417" s="12"/>
      <c r="I1417" s="13">
        <v>0</v>
      </c>
      <c r="J1417" s="13">
        <v>0</v>
      </c>
      <c r="K1417" s="14" t="str">
        <f t="shared" si="254"/>
        <v>Twitter Web Client</v>
      </c>
      <c r="L1417" s="13">
        <v>1366</v>
      </c>
      <c r="M1417" s="13">
        <v>2169</v>
      </c>
      <c r="N1417" s="13">
        <v>52</v>
      </c>
      <c r="O1417" s="15"/>
      <c r="P1417" s="6">
        <v>40814.612280092595</v>
      </c>
      <c r="Q1417" s="16" t="s">
        <v>209</v>
      </c>
      <c r="R1417" s="17" t="s">
        <v>629</v>
      </c>
      <c r="S1417" s="12"/>
      <c r="T1417" s="12"/>
      <c r="U1417" s="10" t="str">
        <f>HYPERLINK("https://pbs.twimg.com/profile_images/663500601351892993/p91GeEcT.jpg","View")</f>
        <v>View</v>
      </c>
    </row>
    <row r="1418" spans="1:21" ht="91.8">
      <c r="A1418" s="6">
        <v>43437.784432870365</v>
      </c>
      <c r="B1418" s="7" t="str">
        <f>HYPERLINK("https://twitter.com/Barbajaputa","@Barbajaputa")</f>
        <v>@Barbajaputa</v>
      </c>
      <c r="C1418" s="8" t="s">
        <v>4862</v>
      </c>
      <c r="D1418" s="9" t="s">
        <v>4863</v>
      </c>
      <c r="E1418" s="10" t="str">
        <f>HYPERLINK("https://twitter.com/Barbajaputa/status/1069649865267920897","1069649865267920897")</f>
        <v>1069649865267920897</v>
      </c>
      <c r="F1418" s="11" t="s">
        <v>4864</v>
      </c>
      <c r="G1418" s="11" t="s">
        <v>4865</v>
      </c>
      <c r="H1418" s="12"/>
      <c r="I1418" s="13">
        <v>0</v>
      </c>
      <c r="J1418" s="13">
        <v>0</v>
      </c>
      <c r="K1418" s="14" t="str">
        <f>HYPERLINK("http://twitter.com/download/iphone","Twitter for iPhone")</f>
        <v>Twitter for iPhone</v>
      </c>
      <c r="L1418" s="13">
        <v>314</v>
      </c>
      <c r="M1418" s="13">
        <v>197</v>
      </c>
      <c r="N1418" s="13">
        <v>2</v>
      </c>
      <c r="O1418" s="15"/>
      <c r="P1418" s="6">
        <v>41554.601550925923</v>
      </c>
      <c r="Q1418" s="12"/>
      <c r="R1418" s="17" t="s">
        <v>4866</v>
      </c>
      <c r="S1418" s="12"/>
      <c r="T1418" s="12"/>
      <c r="U1418" s="10" t="str">
        <f>HYPERLINK("https://pbs.twimg.com/profile_images/1051091312483684352/8PiZ-KCV.jpg","View")</f>
        <v>View</v>
      </c>
    </row>
    <row r="1419" spans="1:21" ht="30.6">
      <c r="A1419" s="6">
        <v>43437.783101851848</v>
      </c>
      <c r="B1419" s="7" t="str">
        <f>HYPERLINK("https://twitter.com/GPinar_Pena","@GPinar_Pena")</f>
        <v>@GPinar_Pena</v>
      </c>
      <c r="C1419" s="8" t="s">
        <v>4867</v>
      </c>
      <c r="D1419" s="9" t="s">
        <v>4489</v>
      </c>
      <c r="E1419" s="10" t="str">
        <f>HYPERLINK("https://twitter.com/GPinar_Pena/status/1069649383413739521","1069649383413739521")</f>
        <v>1069649383413739521</v>
      </c>
      <c r="F1419" s="11" t="s">
        <v>4093</v>
      </c>
      <c r="G1419" s="12"/>
      <c r="H1419" s="12"/>
      <c r="I1419" s="13">
        <v>0</v>
      </c>
      <c r="J1419" s="13">
        <v>0</v>
      </c>
      <c r="K1419" s="14" t="str">
        <f t="shared" ref="K1419:K1422" si="255">HYPERLINK("http://twitter.com/download/android","Twitter for Android")</f>
        <v>Twitter for Android</v>
      </c>
      <c r="L1419" s="13">
        <v>878</v>
      </c>
      <c r="M1419" s="13">
        <v>1177</v>
      </c>
      <c r="N1419" s="13">
        <v>6</v>
      </c>
      <c r="O1419" s="15"/>
      <c r="P1419" s="6">
        <v>42687.487858796296</v>
      </c>
      <c r="Q1419" s="16" t="s">
        <v>353</v>
      </c>
      <c r="R1419" s="17" t="s">
        <v>4868</v>
      </c>
      <c r="S1419" s="12"/>
      <c r="T1419" s="12"/>
      <c r="U1419" s="10" t="str">
        <f>HYPERLINK("https://pbs.twimg.com/profile_images/1040498387131539456/R3stIC89.jpg","View")</f>
        <v>View</v>
      </c>
    </row>
    <row r="1420" spans="1:21" ht="40.799999999999997">
      <c r="A1420" s="6">
        <v>43437.775891203702</v>
      </c>
      <c r="B1420" s="7" t="str">
        <f>HYPERLINK("https://twitter.com/Mercg","@Mercg")</f>
        <v>@Mercg</v>
      </c>
      <c r="C1420" s="8" t="s">
        <v>4810</v>
      </c>
      <c r="D1420" s="9" t="s">
        <v>4869</v>
      </c>
      <c r="E1420" s="10" t="str">
        <f>HYPERLINK("https://twitter.com/Mercg/status/1069646769921900544","1069646769921900544")</f>
        <v>1069646769921900544</v>
      </c>
      <c r="F1420" s="12"/>
      <c r="G1420" s="12"/>
      <c r="H1420" s="12"/>
      <c r="I1420" s="13">
        <v>0</v>
      </c>
      <c r="J1420" s="13">
        <v>0</v>
      </c>
      <c r="K1420" s="14" t="str">
        <f t="shared" si="255"/>
        <v>Twitter for Android</v>
      </c>
      <c r="L1420" s="13">
        <v>456</v>
      </c>
      <c r="M1420" s="13">
        <v>280</v>
      </c>
      <c r="N1420" s="13">
        <v>38</v>
      </c>
      <c r="O1420" s="15"/>
      <c r="P1420" s="6">
        <v>39952.858217592591</v>
      </c>
      <c r="Q1420" s="16" t="s">
        <v>4812</v>
      </c>
      <c r="R1420" s="17" t="s">
        <v>4813</v>
      </c>
      <c r="S1420" s="12"/>
      <c r="T1420" s="12"/>
      <c r="U1420" s="10" t="str">
        <f>HYPERLINK("https://pbs.twimg.com/profile_images/1059634845083553792/w65nUTeN.jpg","View")</f>
        <v>View</v>
      </c>
    </row>
    <row r="1421" spans="1:21" ht="51">
      <c r="A1421" s="6">
        <v>43437.773483796293</v>
      </c>
      <c r="B1421" s="7" t="str">
        <f>HYPERLINK("https://twitter.com/CercaniasV","@CercaniasV")</f>
        <v>@CercaniasV</v>
      </c>
      <c r="C1421" s="8" t="s">
        <v>4870</v>
      </c>
      <c r="D1421" s="9" t="s">
        <v>4871</v>
      </c>
      <c r="E1421" s="10" t="str">
        <f>HYPERLINK("https://twitter.com/CercaniasV/status/1069645897976475654","1069645897976475654")</f>
        <v>1069645897976475654</v>
      </c>
      <c r="F1421" s="11" t="s">
        <v>4093</v>
      </c>
      <c r="G1421" s="12"/>
      <c r="H1421" s="12"/>
      <c r="I1421" s="13">
        <v>1</v>
      </c>
      <c r="J1421" s="13">
        <v>0</v>
      </c>
      <c r="K1421" s="14" t="str">
        <f t="shared" si="255"/>
        <v>Twitter for Android</v>
      </c>
      <c r="L1421" s="13">
        <v>10</v>
      </c>
      <c r="M1421" s="13">
        <v>1</v>
      </c>
      <c r="N1421" s="13">
        <v>0</v>
      </c>
      <c r="O1421" s="15"/>
      <c r="P1421" s="6">
        <v>43375.354456018518</v>
      </c>
      <c r="Q1421" s="12"/>
      <c r="R1421" s="20"/>
      <c r="S1421" s="12"/>
      <c r="T1421" s="12"/>
      <c r="U1421" s="19" t="s">
        <v>359</v>
      </c>
    </row>
    <row r="1422" spans="1:21" ht="20.399999999999999">
      <c r="A1422" s="6">
        <v>43437.772546296299</v>
      </c>
      <c r="B1422" s="7" t="str">
        <f>HYPERLINK("https://twitter.com/EnriqueBoto","@EnriqueBoto")</f>
        <v>@EnriqueBoto</v>
      </c>
      <c r="C1422" s="8" t="s">
        <v>3322</v>
      </c>
      <c r="D1422" s="9" t="s">
        <v>4489</v>
      </c>
      <c r="E1422" s="10" t="str">
        <f>HYPERLINK("https://twitter.com/EnriqueBoto/status/1069645557180899332","1069645557180899332")</f>
        <v>1069645557180899332</v>
      </c>
      <c r="F1422" s="11" t="s">
        <v>4093</v>
      </c>
      <c r="G1422" s="12"/>
      <c r="H1422" s="12"/>
      <c r="I1422" s="13">
        <v>1</v>
      </c>
      <c r="J1422" s="13">
        <v>0</v>
      </c>
      <c r="K1422" s="14" t="str">
        <f t="shared" si="255"/>
        <v>Twitter for Android</v>
      </c>
      <c r="L1422" s="13">
        <v>1420</v>
      </c>
      <c r="M1422" s="13">
        <v>962</v>
      </c>
      <c r="N1422" s="13">
        <v>14</v>
      </c>
      <c r="O1422" s="15"/>
      <c r="P1422" s="6">
        <v>41575.47896990741</v>
      </c>
      <c r="Q1422" s="16" t="s">
        <v>3325</v>
      </c>
      <c r="R1422" s="17" t="s">
        <v>3326</v>
      </c>
      <c r="S1422" s="12"/>
      <c r="T1422" s="12"/>
      <c r="U1422" s="10" t="str">
        <f>HYPERLINK("https://pbs.twimg.com/profile_images/432673214150356992/k4dht69u.png","View")</f>
        <v>View</v>
      </c>
    </row>
    <row r="1423" spans="1:21" ht="40.799999999999997">
      <c r="A1423" s="6">
        <v>43437.77238425926</v>
      </c>
      <c r="B1423" s="7" t="str">
        <f>HYPERLINK("https://twitter.com/decasta1","@decasta1")</f>
        <v>@decasta1</v>
      </c>
      <c r="C1423" s="8" t="s">
        <v>4872</v>
      </c>
      <c r="D1423" s="9" t="s">
        <v>4873</v>
      </c>
      <c r="E1423" s="10" t="str">
        <f>HYPERLINK("https://twitter.com/decasta1/status/1069645498091474944","1069645498091474944")</f>
        <v>1069645498091474944</v>
      </c>
      <c r="F1423" s="12"/>
      <c r="G1423" s="12"/>
      <c r="H1423" s="12"/>
      <c r="I1423" s="13">
        <v>1</v>
      </c>
      <c r="J1423" s="13">
        <v>0</v>
      </c>
      <c r="K1423" s="14" t="str">
        <f>HYPERLINK("http://twitter.com","Twitter Web Client")</f>
        <v>Twitter Web Client</v>
      </c>
      <c r="L1423" s="13">
        <v>2214</v>
      </c>
      <c r="M1423" s="13">
        <v>2142</v>
      </c>
      <c r="N1423" s="13">
        <v>19</v>
      </c>
      <c r="O1423" s="15"/>
      <c r="P1423" s="6">
        <v>40746.974386574075</v>
      </c>
      <c r="Q1423" s="16" t="s">
        <v>48</v>
      </c>
      <c r="R1423" s="17" t="s">
        <v>4874</v>
      </c>
      <c r="S1423" s="12"/>
      <c r="T1423" s="12"/>
      <c r="U1423" s="10" t="str">
        <f>HYPERLINK("https://pbs.twimg.com/profile_images/3362490168/c7ba55f5de302b6e8c68d2f2f077ca10.jpeg","View")</f>
        <v>View</v>
      </c>
    </row>
    <row r="1424" spans="1:21" ht="30.6">
      <c r="A1424" s="6">
        <v>43437.771585648152</v>
      </c>
      <c r="B1424" s="7" t="str">
        <f>HYPERLINK("https://twitter.com/DiaPerfectoFM","@DiaPerfectoFM")</f>
        <v>@DiaPerfectoFM</v>
      </c>
      <c r="C1424" s="8" t="s">
        <v>4875</v>
      </c>
      <c r="D1424" s="9" t="s">
        <v>4876</v>
      </c>
      <c r="E1424" s="10" t="str">
        <f>HYPERLINK("https://twitter.com/DiaPerfectoFM/status/1069645209187770368","1069645209187770368")</f>
        <v>1069645209187770368</v>
      </c>
      <c r="F1424" s="11" t="s">
        <v>4877</v>
      </c>
      <c r="G1424" s="11" t="s">
        <v>4878</v>
      </c>
      <c r="H1424" s="12"/>
      <c r="I1424" s="13">
        <v>0</v>
      </c>
      <c r="J1424" s="13">
        <v>0</v>
      </c>
      <c r="K1424" s="14" t="str">
        <f>HYPERLINK("https://dlvrit.com/","dlvr.it")</f>
        <v>dlvr.it</v>
      </c>
      <c r="L1424" s="13">
        <v>1121</v>
      </c>
      <c r="M1424" s="13">
        <v>794</v>
      </c>
      <c r="N1424" s="13">
        <v>8</v>
      </c>
      <c r="O1424" s="15"/>
      <c r="P1424" s="6">
        <v>41741.073831018519</v>
      </c>
      <c r="Q1424" s="16" t="s">
        <v>4879</v>
      </c>
      <c r="R1424" s="17" t="s">
        <v>4880</v>
      </c>
      <c r="S1424" s="11" t="s">
        <v>4881</v>
      </c>
      <c r="T1424" s="12"/>
      <c r="U1424" s="10" t="str">
        <f>HYPERLINK("https://pbs.twimg.com/profile_images/819633306492870656/DF_9zAnv.jpg","View")</f>
        <v>View</v>
      </c>
    </row>
    <row r="1425" spans="1:21" ht="51">
      <c r="A1425" s="6">
        <v>43437.771006944444</v>
      </c>
      <c r="B1425" s="7" t="str">
        <f>HYPERLINK("https://twitter.com/cuzoVello47","@cuzoVello47")</f>
        <v>@cuzoVello47</v>
      </c>
      <c r="C1425" s="8" t="s">
        <v>4882</v>
      </c>
      <c r="D1425" s="9" t="s">
        <v>4883</v>
      </c>
      <c r="E1425" s="10" t="str">
        <f>HYPERLINK("https://twitter.com/cuzoVello47/status/1069644999355232262","1069644999355232262")</f>
        <v>1069644999355232262</v>
      </c>
      <c r="F1425" s="12"/>
      <c r="G1425" s="12"/>
      <c r="H1425" s="12"/>
      <c r="I1425" s="13">
        <v>0</v>
      </c>
      <c r="J1425" s="13">
        <v>0</v>
      </c>
      <c r="K1425" s="14" t="str">
        <f>HYPERLINK("http://twitter.com/#!/download/ipad","Twitter for iPad")</f>
        <v>Twitter for iPad</v>
      </c>
      <c r="L1425" s="13">
        <v>27</v>
      </c>
      <c r="M1425" s="13">
        <v>193</v>
      </c>
      <c r="N1425" s="13">
        <v>0</v>
      </c>
      <c r="O1425" s="15"/>
      <c r="P1425" s="6">
        <v>42322.80232638889</v>
      </c>
      <c r="Q1425" s="12"/>
      <c r="R1425" s="20"/>
      <c r="S1425" s="12"/>
      <c r="T1425" s="12"/>
      <c r="U1425" s="10" t="str">
        <f>HYPERLINK("https://pbs.twimg.com/profile_images/665594707540647940/agLq9rpa.jpg","View")</f>
        <v>View</v>
      </c>
    </row>
    <row r="1426" spans="1:21" ht="51">
      <c r="A1426" s="6">
        <v>43437.770960648151</v>
      </c>
      <c r="B1426" s="7" t="str">
        <f>HYPERLINK("https://twitter.com/elasteriscoes","@elasteriscoes")</f>
        <v>@elasteriscoes</v>
      </c>
      <c r="C1426" s="21" t="s">
        <v>4884</v>
      </c>
      <c r="D1426" s="9" t="s">
        <v>4885</v>
      </c>
      <c r="E1426" s="10" t="str">
        <f>HYPERLINK("https://twitter.com/elasteriscoes/status/1069644982070509574","1069644982070509574")</f>
        <v>1069644982070509574</v>
      </c>
      <c r="F1426" s="11" t="s">
        <v>4886</v>
      </c>
      <c r="G1426" s="12"/>
      <c r="H1426" s="12"/>
      <c r="I1426" s="13">
        <v>6</v>
      </c>
      <c r="J1426" s="13">
        <v>9</v>
      </c>
      <c r="K1426" s="14" t="str">
        <f>HYPERLINK("https://www.hootsuite.com","Hootsuite Inc.")</f>
        <v>Hootsuite Inc.</v>
      </c>
      <c r="L1426" s="13">
        <v>3510</v>
      </c>
      <c r="M1426" s="13">
        <v>18</v>
      </c>
      <c r="N1426" s="13">
        <v>44</v>
      </c>
      <c r="O1426" s="15"/>
      <c r="P1426" s="6">
        <v>42650.575659722221</v>
      </c>
      <c r="Q1426" s="12"/>
      <c r="R1426" s="17" t="s">
        <v>4887</v>
      </c>
      <c r="S1426" s="11" t="s">
        <v>4888</v>
      </c>
      <c r="T1426" s="12"/>
      <c r="U1426" s="10" t="str">
        <f>HYPERLINK("https://pbs.twimg.com/profile_images/905457227070353409/cxftYOH_.jpg","View")</f>
        <v>View</v>
      </c>
    </row>
    <row r="1427" spans="1:21" ht="20.399999999999999">
      <c r="A1427" s="6">
        <v>43437.770567129628</v>
      </c>
      <c r="B1427" s="7" t="str">
        <f>HYPERLINK("https://twitter.com/LezoDBlas","@LezoDBlas")</f>
        <v>@LezoDBlas</v>
      </c>
      <c r="C1427" s="8" t="s">
        <v>4889</v>
      </c>
      <c r="D1427" s="9" t="s">
        <v>4890</v>
      </c>
      <c r="E1427" s="10" t="str">
        <f>HYPERLINK("https://twitter.com/LezoDBlas/status/1069644838423969793","1069644838423969793")</f>
        <v>1069644838423969793</v>
      </c>
      <c r="F1427" s="12"/>
      <c r="G1427" s="12"/>
      <c r="H1427" s="12"/>
      <c r="I1427" s="13">
        <v>0</v>
      </c>
      <c r="J1427" s="13">
        <v>0</v>
      </c>
      <c r="K1427" s="14" t="str">
        <f t="shared" ref="K1427:K1428" si="256">HYPERLINK("http://twitter.com","Twitter Web Client")</f>
        <v>Twitter Web Client</v>
      </c>
      <c r="L1427" s="13">
        <v>46</v>
      </c>
      <c r="M1427" s="13">
        <v>417</v>
      </c>
      <c r="N1427" s="13">
        <v>0</v>
      </c>
      <c r="O1427" s="15"/>
      <c r="P1427" s="6">
        <v>43024.86518518519</v>
      </c>
      <c r="Q1427" s="12"/>
      <c r="R1427" s="17" t="s">
        <v>4891</v>
      </c>
      <c r="S1427" s="12"/>
      <c r="T1427" s="12"/>
      <c r="U1427" s="10" t="str">
        <f>HYPERLINK("https://pbs.twimg.com/profile_images/919999510675419137/n43UAOFZ.jpg","View")</f>
        <v>View</v>
      </c>
    </row>
    <row r="1428" spans="1:21" ht="40.799999999999997">
      <c r="A1428" s="6">
        <v>43437.768680555557</v>
      </c>
      <c r="B1428" s="7" t="str">
        <f>HYPERLINK("https://twitter.com/Sanfermin00","@Sanfermin00")</f>
        <v>@Sanfermin00</v>
      </c>
      <c r="C1428" s="8" t="s">
        <v>1618</v>
      </c>
      <c r="D1428" s="9" t="s">
        <v>4893</v>
      </c>
      <c r="E1428" s="10" t="str">
        <f>HYPERLINK("https://twitter.com/Sanfermin00/status/1069644156589522949","1069644156589522949")</f>
        <v>1069644156589522949</v>
      </c>
      <c r="F1428" s="11" t="s">
        <v>4894</v>
      </c>
      <c r="G1428" s="12"/>
      <c r="H1428" s="12"/>
      <c r="I1428" s="13">
        <v>1</v>
      </c>
      <c r="J1428" s="13">
        <v>0</v>
      </c>
      <c r="K1428" s="14" t="str">
        <f t="shared" si="256"/>
        <v>Twitter Web Client</v>
      </c>
      <c r="L1428" s="13">
        <v>16528</v>
      </c>
      <c r="M1428" s="13">
        <v>13714</v>
      </c>
      <c r="N1428" s="13">
        <v>122</v>
      </c>
      <c r="O1428" s="15"/>
      <c r="P1428" s="6">
        <v>42362.637083333335</v>
      </c>
      <c r="Q1428" s="16" t="s">
        <v>1619</v>
      </c>
      <c r="R1428" s="17" t="s">
        <v>1620</v>
      </c>
      <c r="S1428" s="11" t="s">
        <v>1621</v>
      </c>
      <c r="T1428" s="12"/>
      <c r="U1428" s="10" t="str">
        <f>HYPERLINK("https://pbs.twimg.com/profile_images/1064102923624480768/j11dV2-u.jpg","View")</f>
        <v>View</v>
      </c>
    </row>
    <row r="1429" spans="1:21" ht="30.6">
      <c r="A1429" s="6">
        <v>43437.768321759257</v>
      </c>
      <c r="B1429" s="7" t="str">
        <f>HYPERLINK("https://twitter.com/pablo_casado","@pablo_casado")</f>
        <v>@pablo_casado</v>
      </c>
      <c r="C1429" s="8" t="s">
        <v>2892</v>
      </c>
      <c r="D1429" s="9" t="s">
        <v>4895</v>
      </c>
      <c r="E1429" s="10" t="str">
        <f>HYPERLINK("https://twitter.com/pablo_casado/status/1069644026788438023","1069644026788438023")</f>
        <v>1069644026788438023</v>
      </c>
      <c r="F1429" s="12"/>
      <c r="G1429" s="11" t="s">
        <v>4896</v>
      </c>
      <c r="H1429" s="12"/>
      <c r="I1429" s="13">
        <v>2</v>
      </c>
      <c r="J1429" s="13">
        <v>6</v>
      </c>
      <c r="K1429" s="14" t="str">
        <f>HYPERLINK("http://twitter.com/download/iphone","Twitter for iPhone")</f>
        <v>Twitter for iPhone</v>
      </c>
      <c r="L1429" s="13">
        <v>803</v>
      </c>
      <c r="M1429" s="13">
        <v>1180</v>
      </c>
      <c r="N1429" s="13">
        <v>16</v>
      </c>
      <c r="O1429" s="15"/>
      <c r="P1429" s="6">
        <v>40631.644189814819</v>
      </c>
      <c r="Q1429" s="16" t="s">
        <v>2895</v>
      </c>
      <c r="R1429" s="17" t="s">
        <v>2896</v>
      </c>
      <c r="S1429" s="11" t="s">
        <v>2897</v>
      </c>
      <c r="T1429" s="12"/>
      <c r="U1429" s="10" t="str">
        <f>HYPERLINK("https://pbs.twimg.com/profile_images/960372546393837569/o7y23nco.jpg","View")</f>
        <v>View</v>
      </c>
    </row>
    <row r="1430" spans="1:21" ht="40.799999999999997">
      <c r="A1430" s="6">
        <v>43437.767835648148</v>
      </c>
      <c r="B1430" s="7" t="str">
        <f>HYPERLINK("https://twitter.com/HectrSanjuan","@HectrSanjuan")</f>
        <v>@HectrSanjuan</v>
      </c>
      <c r="C1430" s="8" t="s">
        <v>3234</v>
      </c>
      <c r="D1430" s="9" t="s">
        <v>4897</v>
      </c>
      <c r="E1430" s="10" t="str">
        <f>HYPERLINK("https://twitter.com/HectrSanjuan/status/1069643850120085505","1069643850120085505")</f>
        <v>1069643850120085505</v>
      </c>
      <c r="F1430" s="11" t="s">
        <v>4093</v>
      </c>
      <c r="G1430" s="12"/>
      <c r="H1430" s="12"/>
      <c r="I1430" s="13">
        <v>0</v>
      </c>
      <c r="J1430" s="13">
        <v>0</v>
      </c>
      <c r="K1430" s="14" t="str">
        <f t="shared" ref="K1430:K1434" si="257">HYPERLINK("http://twitter.com","Twitter Web Client")</f>
        <v>Twitter Web Client</v>
      </c>
      <c r="L1430" s="13">
        <v>3657</v>
      </c>
      <c r="M1430" s="13">
        <v>1379</v>
      </c>
      <c r="N1430" s="13">
        <v>93</v>
      </c>
      <c r="O1430" s="15"/>
      <c r="P1430" s="6">
        <v>40670.805717592593</v>
      </c>
      <c r="Q1430" s="16" t="s">
        <v>145</v>
      </c>
      <c r="R1430" s="17" t="s">
        <v>3236</v>
      </c>
      <c r="S1430" s="11" t="s">
        <v>3237</v>
      </c>
      <c r="T1430" s="12"/>
      <c r="U1430" s="10" t="str">
        <f>HYPERLINK("https://pbs.twimg.com/profile_images/662224285889601536/pwSItLAX.jpg","View")</f>
        <v>View</v>
      </c>
    </row>
    <row r="1431" spans="1:21" ht="20.399999999999999">
      <c r="A1431" s="6">
        <v>43437.767708333333</v>
      </c>
      <c r="B1431" s="7" t="str">
        <f>HYPERLINK("https://twitter.com/Newsss15","@Newsss15")</f>
        <v>@Newsss15</v>
      </c>
      <c r="C1431" s="8" t="s">
        <v>4898</v>
      </c>
      <c r="D1431" s="9" t="s">
        <v>4897</v>
      </c>
      <c r="E1431" s="10" t="str">
        <f>HYPERLINK("https://twitter.com/Newsss15/status/1069643805396271104","1069643805396271104")</f>
        <v>1069643805396271104</v>
      </c>
      <c r="F1431" s="11" t="s">
        <v>4093</v>
      </c>
      <c r="G1431" s="12"/>
      <c r="H1431" s="12"/>
      <c r="I1431" s="13">
        <v>0</v>
      </c>
      <c r="J1431" s="13">
        <v>0</v>
      </c>
      <c r="K1431" s="14" t="str">
        <f t="shared" si="257"/>
        <v>Twitter Web Client</v>
      </c>
      <c r="L1431" s="13">
        <v>42</v>
      </c>
      <c r="M1431" s="13">
        <v>136</v>
      </c>
      <c r="N1431" s="13">
        <v>1</v>
      </c>
      <c r="O1431" s="15"/>
      <c r="P1431" s="6">
        <v>42190.730833333335</v>
      </c>
      <c r="Q1431" s="16" t="s">
        <v>4899</v>
      </c>
      <c r="R1431" s="17" t="s">
        <v>4900</v>
      </c>
      <c r="S1431" s="12"/>
      <c r="T1431" s="12"/>
      <c r="U1431" s="10" t="str">
        <f>HYPERLINK("https://pbs.twimg.com/profile_images/996287009651126272/VMKrAS2M.jpg","View")</f>
        <v>View</v>
      </c>
    </row>
    <row r="1432" spans="1:21" ht="51">
      <c r="A1432" s="6">
        <v>43437.765370370369</v>
      </c>
      <c r="B1432" s="7" t="str">
        <f>HYPERLINK("https://twitter.com/begiakirekiz","@begiakirekiz")</f>
        <v>@begiakirekiz</v>
      </c>
      <c r="C1432" s="8" t="s">
        <v>1447</v>
      </c>
      <c r="D1432" s="9" t="s">
        <v>4901</v>
      </c>
      <c r="E1432" s="10" t="str">
        <f>HYPERLINK("https://twitter.com/begiakirekiz/status/1069642956838191104","1069642956838191104")</f>
        <v>1069642956838191104</v>
      </c>
      <c r="F1432" s="12"/>
      <c r="G1432" s="12"/>
      <c r="H1432" s="12"/>
      <c r="I1432" s="13">
        <v>0</v>
      </c>
      <c r="J1432" s="13">
        <v>0</v>
      </c>
      <c r="K1432" s="14" t="str">
        <f t="shared" si="257"/>
        <v>Twitter Web Client</v>
      </c>
      <c r="L1432" s="13">
        <v>3130</v>
      </c>
      <c r="M1432" s="13">
        <v>241</v>
      </c>
      <c r="N1432" s="13">
        <v>43</v>
      </c>
      <c r="O1432" s="15"/>
      <c r="P1432" s="6">
        <v>41318.951365740737</v>
      </c>
      <c r="Q1432" s="16" t="s">
        <v>1450</v>
      </c>
      <c r="R1432" s="17" t="s">
        <v>1451</v>
      </c>
      <c r="S1432" s="12"/>
      <c r="T1432" s="12"/>
      <c r="U1432" s="10" t="str">
        <f>HYPERLINK("https://pbs.twimg.com/profile_images/1057956676849025024/EH5bsX6U.jpg","View")</f>
        <v>View</v>
      </c>
    </row>
    <row r="1433" spans="1:21" ht="20.399999999999999">
      <c r="A1433" s="6">
        <v>43437.759710648148</v>
      </c>
      <c r="B1433" s="7" t="str">
        <f>HYPERLINK("https://twitter.com/SALE550","@SALE550")</f>
        <v>@SALE550</v>
      </c>
      <c r="C1433" s="8" t="s">
        <v>4907</v>
      </c>
      <c r="D1433" s="9" t="s">
        <v>4489</v>
      </c>
      <c r="E1433" s="10" t="str">
        <f>HYPERLINK("https://twitter.com/SALE550/status/1069640903508279296","1069640903508279296")</f>
        <v>1069640903508279296</v>
      </c>
      <c r="F1433" s="11" t="s">
        <v>4093</v>
      </c>
      <c r="G1433" s="12"/>
      <c r="H1433" s="12"/>
      <c r="I1433" s="13">
        <v>0</v>
      </c>
      <c r="J1433" s="13">
        <v>0</v>
      </c>
      <c r="K1433" s="14" t="str">
        <f t="shared" si="257"/>
        <v>Twitter Web Client</v>
      </c>
      <c r="L1433" s="13">
        <v>92</v>
      </c>
      <c r="M1433" s="13">
        <v>491</v>
      </c>
      <c r="N1433" s="13">
        <v>3</v>
      </c>
      <c r="O1433" s="15"/>
      <c r="P1433" s="6">
        <v>40501.330335648148</v>
      </c>
      <c r="Q1433" s="16" t="s">
        <v>4908</v>
      </c>
      <c r="R1433" s="17" t="s">
        <v>4909</v>
      </c>
      <c r="S1433" s="12"/>
      <c r="T1433" s="12"/>
      <c r="U1433" s="10" t="str">
        <f>HYPERLINK("https://pbs.twimg.com/profile_images/2292818647/678cuyarak43yyoyr9vu.jpeg","View")</f>
        <v>View</v>
      </c>
    </row>
    <row r="1434" spans="1:21" ht="13.2">
      <c r="A1434" s="6">
        <v>43437.754675925928</v>
      </c>
      <c r="B1434" s="7" t="str">
        <f>HYPERLINK("https://twitter.com/binarymag_","@binarymag_")</f>
        <v>@binarymag_</v>
      </c>
      <c r="C1434" s="8" t="s">
        <v>4910</v>
      </c>
      <c r="D1434" s="9" t="s">
        <v>4911</v>
      </c>
      <c r="E1434" s="10" t="str">
        <f>HYPERLINK("https://twitter.com/binarymag_/status/1069639082177978370","1069639082177978370")</f>
        <v>1069639082177978370</v>
      </c>
      <c r="F1434" s="11" t="s">
        <v>4912</v>
      </c>
      <c r="G1434" s="12"/>
      <c r="H1434" s="12"/>
      <c r="I1434" s="13">
        <v>0</v>
      </c>
      <c r="J1434" s="13">
        <v>0</v>
      </c>
      <c r="K1434" s="14" t="str">
        <f t="shared" si="257"/>
        <v>Twitter Web Client</v>
      </c>
      <c r="L1434" s="13">
        <v>15585</v>
      </c>
      <c r="M1434" s="13">
        <v>1091</v>
      </c>
      <c r="N1434" s="13">
        <v>31</v>
      </c>
      <c r="O1434" s="15"/>
      <c r="P1434" s="6">
        <v>40388.465925925928</v>
      </c>
      <c r="Q1434" s="16" t="s">
        <v>48</v>
      </c>
      <c r="R1434" s="17" t="s">
        <v>4913</v>
      </c>
      <c r="S1434" s="11" t="s">
        <v>4914</v>
      </c>
      <c r="T1434" s="12"/>
      <c r="U1434" s="10" t="str">
        <f>HYPERLINK("https://pbs.twimg.com/profile_images/1017314401966329856/1NlejrbD.jpg","View")</f>
        <v>View</v>
      </c>
    </row>
    <row r="1435" spans="1:21" ht="20.399999999999999">
      <c r="A1435" s="6">
        <v>43437.74864583333</v>
      </c>
      <c r="B1435" s="7" t="str">
        <f>HYPERLINK("https://twitter.com/ShursToday","@ShursToday")</f>
        <v>@ShursToday</v>
      </c>
      <c r="C1435" s="8" t="s">
        <v>4915</v>
      </c>
      <c r="D1435" s="9" t="s">
        <v>4876</v>
      </c>
      <c r="E1435" s="10" t="str">
        <f>HYPERLINK("https://twitter.com/ShursToday/status/1069636895234121728","1069636895234121728")</f>
        <v>1069636895234121728</v>
      </c>
      <c r="F1435" s="11" t="s">
        <v>4916</v>
      </c>
      <c r="G1435" s="11" t="s">
        <v>4917</v>
      </c>
      <c r="H1435" s="12"/>
      <c r="I1435" s="13">
        <v>0</v>
      </c>
      <c r="J1435" s="13">
        <v>0</v>
      </c>
      <c r="K1435" s="14" t="str">
        <f>HYPERLINK("https://dlvrit.com/","dlvr.it")</f>
        <v>dlvr.it</v>
      </c>
      <c r="L1435" s="13">
        <v>32</v>
      </c>
      <c r="M1435" s="13">
        <v>75</v>
      </c>
      <c r="N1435" s="13">
        <v>2</v>
      </c>
      <c r="O1435" s="15"/>
      <c r="P1435" s="6">
        <v>42734.465509259258</v>
      </c>
      <c r="Q1435" s="16" t="s">
        <v>389</v>
      </c>
      <c r="R1435" s="17" t="s">
        <v>4918</v>
      </c>
      <c r="S1435" s="12"/>
      <c r="T1435" s="12"/>
      <c r="U1435" s="10" t="str">
        <f>HYPERLINK("https://pbs.twimg.com/profile_images/814793568523010048/T8QPsgEp.jpg","View")</f>
        <v>View</v>
      </c>
    </row>
    <row r="1436" spans="1:21" ht="40.799999999999997">
      <c r="A1436" s="6">
        <v>43437.744027777779</v>
      </c>
      <c r="B1436" s="7" t="str">
        <f>HYPERLINK("https://twitter.com/caval100","@caval100")</f>
        <v>@caval100</v>
      </c>
      <c r="C1436" s="8" t="s">
        <v>72</v>
      </c>
      <c r="D1436" s="9" t="s">
        <v>4919</v>
      </c>
      <c r="E1436" s="10" t="str">
        <f>HYPERLINK("https://twitter.com/caval100/status/1069635221232988162","1069635221232988162")</f>
        <v>1069635221232988162</v>
      </c>
      <c r="F1436" s="12"/>
      <c r="G1436" s="11" t="s">
        <v>4920</v>
      </c>
      <c r="H1436" s="12"/>
      <c r="I1436" s="13">
        <v>3</v>
      </c>
      <c r="J1436" s="13">
        <v>4</v>
      </c>
      <c r="K1436" s="14" t="str">
        <f>HYPERLINK("http://twitter.com/download/android","Twitter for Android")</f>
        <v>Twitter for Android</v>
      </c>
      <c r="L1436" s="13">
        <v>119343</v>
      </c>
      <c r="M1436" s="13">
        <v>94000</v>
      </c>
      <c r="N1436" s="13">
        <v>982</v>
      </c>
      <c r="O1436" s="15"/>
      <c r="P1436" s="6">
        <v>40079.437094907407</v>
      </c>
      <c r="Q1436" s="16" t="s">
        <v>75</v>
      </c>
      <c r="R1436" s="17" t="s">
        <v>76</v>
      </c>
      <c r="S1436" s="11" t="s">
        <v>77</v>
      </c>
      <c r="T1436" s="12"/>
      <c r="U1436" s="10" t="str">
        <f>HYPERLINK("https://pbs.twimg.com/profile_images/965350678301429760/uvGI7g8U.jpg","View")</f>
        <v>View</v>
      </c>
    </row>
    <row r="1437" spans="1:21" ht="30.6">
      <c r="A1437" s="6">
        <v>43437.742476851854</v>
      </c>
      <c r="B1437" s="7" t="str">
        <f>HYPERLINK("https://twitter.com/LaVirgenSoy","@LaVirgenSoy")</f>
        <v>@LaVirgenSoy</v>
      </c>
      <c r="C1437" s="8" t="s">
        <v>4921</v>
      </c>
      <c r="D1437" s="9" t="s">
        <v>4922</v>
      </c>
      <c r="E1437" s="10" t="str">
        <f>HYPERLINK("https://twitter.com/LaVirgenSoy/status/1069634660655947776","1069634660655947776")</f>
        <v>1069634660655947776</v>
      </c>
      <c r="F1437" s="12"/>
      <c r="G1437" s="12"/>
      <c r="H1437" s="12"/>
      <c r="I1437" s="13">
        <v>2</v>
      </c>
      <c r="J1437" s="13">
        <v>8</v>
      </c>
      <c r="K1437" s="14" t="str">
        <f>HYPERLINK("http://twitter.com/download/iphone","Twitter for iPhone")</f>
        <v>Twitter for iPhone</v>
      </c>
      <c r="L1437" s="13">
        <v>113</v>
      </c>
      <c r="M1437" s="13">
        <v>74</v>
      </c>
      <c r="N1437" s="13">
        <v>3</v>
      </c>
      <c r="O1437" s="15"/>
      <c r="P1437" s="6">
        <v>43066.088506944448</v>
      </c>
      <c r="Q1437" s="16" t="s">
        <v>4923</v>
      </c>
      <c r="R1437" s="17" t="s">
        <v>4924</v>
      </c>
      <c r="S1437" s="12"/>
      <c r="T1437" s="12"/>
      <c r="U1437" s="10" t="str">
        <f>HYPERLINK("https://pbs.twimg.com/profile_images/1069694955206127616/osQWTAhT.jpg","View")</f>
        <v>View</v>
      </c>
    </row>
    <row r="1438" spans="1:21" ht="30.6">
      <c r="A1438" s="6">
        <v>43437.739201388889</v>
      </c>
      <c r="B1438" s="7" t="str">
        <f>HYPERLINK("https://twitter.com/Palle_Rojo","@Palle_Rojo")</f>
        <v>@Palle_Rojo</v>
      </c>
      <c r="C1438" s="8" t="s">
        <v>4925</v>
      </c>
      <c r="D1438" s="9" t="s">
        <v>4926</v>
      </c>
      <c r="E1438" s="10" t="str">
        <f>HYPERLINK("https://twitter.com/Palle_Rojo/status/1069633471600054273","1069633471600054273")</f>
        <v>1069633471600054273</v>
      </c>
      <c r="F1438" s="11" t="s">
        <v>4927</v>
      </c>
      <c r="G1438" s="12"/>
      <c r="H1438" s="12"/>
      <c r="I1438" s="13">
        <v>0</v>
      </c>
      <c r="J1438" s="13">
        <v>0</v>
      </c>
      <c r="K1438" s="14" t="str">
        <f>HYPERLINK("http://twitter.com/download/android","Twitter for Android")</f>
        <v>Twitter for Android</v>
      </c>
      <c r="L1438" s="13">
        <v>322</v>
      </c>
      <c r="M1438" s="13">
        <v>720</v>
      </c>
      <c r="N1438" s="13">
        <v>7</v>
      </c>
      <c r="O1438" s="15"/>
      <c r="P1438" s="6">
        <v>40592.424085648148</v>
      </c>
      <c r="Q1438" s="12"/>
      <c r="R1438" s="17" t="s">
        <v>4928</v>
      </c>
      <c r="S1438" s="12"/>
      <c r="T1438" s="12"/>
      <c r="U1438" s="10" t="str">
        <f>HYPERLINK("https://pbs.twimg.com/profile_images/834524819928580097/w1my60NQ.jpg","View")</f>
        <v>View</v>
      </c>
    </row>
    <row r="1439" spans="1:21" ht="20.399999999999999">
      <c r="A1439" s="6">
        <v>43437.739178240736</v>
      </c>
      <c r="B1439" s="7" t="str">
        <f>HYPERLINK("https://twitter.com/urteagaGC","@urteagaGC")</f>
        <v>@urteagaGC</v>
      </c>
      <c r="C1439" s="8" t="s">
        <v>4929</v>
      </c>
      <c r="D1439" s="9" t="s">
        <v>4489</v>
      </c>
      <c r="E1439" s="10" t="str">
        <f>HYPERLINK("https://twitter.com/urteagaGC/status/1069633466881449984","1069633466881449984")</f>
        <v>1069633466881449984</v>
      </c>
      <c r="F1439" s="11" t="s">
        <v>4093</v>
      </c>
      <c r="G1439" s="12"/>
      <c r="H1439" s="12"/>
      <c r="I1439" s="13">
        <v>0</v>
      </c>
      <c r="J1439" s="13">
        <v>0</v>
      </c>
      <c r="K1439" s="14" t="str">
        <f>HYPERLINK("http://twitter.com","Twitter Web Client")</f>
        <v>Twitter Web Client</v>
      </c>
      <c r="L1439" s="13">
        <v>2041</v>
      </c>
      <c r="M1439" s="13">
        <v>981</v>
      </c>
      <c r="N1439" s="13">
        <v>26</v>
      </c>
      <c r="O1439" s="15"/>
      <c r="P1439" s="6">
        <v>40956.048819444448</v>
      </c>
      <c r="Q1439" s="16" t="s">
        <v>2943</v>
      </c>
      <c r="R1439" s="17" t="s">
        <v>4930</v>
      </c>
      <c r="S1439" s="12"/>
      <c r="T1439" s="12"/>
      <c r="U1439" s="10" t="str">
        <f>HYPERLINK("https://pbs.twimg.com/profile_images/1024440764246515712/lmZyL7Ep.jpg","View")</f>
        <v>View</v>
      </c>
    </row>
    <row r="1440" spans="1:21" ht="91.8">
      <c r="A1440" s="6">
        <v>43437.738645833335</v>
      </c>
      <c r="B1440" s="7" t="str">
        <f>HYPERLINK("https://twitter.com/locodelpelorojo","@locodelpelorojo")</f>
        <v>@locodelpelorojo</v>
      </c>
      <c r="C1440" s="8" t="s">
        <v>4931</v>
      </c>
      <c r="D1440" s="9" t="s">
        <v>4932</v>
      </c>
      <c r="E1440" s="10" t="str">
        <f>HYPERLINK("https://twitter.com/locodelpelorojo/status/1069633273486286849","1069633273486286849")</f>
        <v>1069633273486286849</v>
      </c>
      <c r="F1440" s="11" t="s">
        <v>4933</v>
      </c>
      <c r="G1440" s="11" t="s">
        <v>4432</v>
      </c>
      <c r="H1440" s="12"/>
      <c r="I1440" s="13">
        <v>4</v>
      </c>
      <c r="J1440" s="13">
        <v>4</v>
      </c>
      <c r="K1440" s="14" t="str">
        <f>HYPERLINK("http://twitter.com/download/android","Twitter for Android")</f>
        <v>Twitter for Android</v>
      </c>
      <c r="L1440" s="13">
        <v>11902</v>
      </c>
      <c r="M1440" s="13">
        <v>1079</v>
      </c>
      <c r="N1440" s="13">
        <v>575</v>
      </c>
      <c r="O1440" s="15"/>
      <c r="P1440" s="6">
        <v>39818.410254629627</v>
      </c>
      <c r="Q1440" s="16" t="s">
        <v>191</v>
      </c>
      <c r="R1440" s="17" t="s">
        <v>4934</v>
      </c>
      <c r="S1440" s="11" t="s">
        <v>4935</v>
      </c>
      <c r="T1440" s="12"/>
      <c r="U1440" s="10" t="str">
        <f>HYPERLINK("https://pbs.twimg.com/profile_images/722001502630514688/xYe2GDak.jpg","View")</f>
        <v>View</v>
      </c>
    </row>
    <row r="1441" spans="1:21" ht="20.399999999999999">
      <c r="A1441" s="6">
        <v>43437.737696759257</v>
      </c>
      <c r="B1441" s="7" t="str">
        <f>HYPERLINK("https://twitter.com/Marzal_80","@Marzal_80")</f>
        <v>@Marzal_80</v>
      </c>
      <c r="C1441" s="8" t="s">
        <v>4936</v>
      </c>
      <c r="D1441" s="9" t="s">
        <v>4937</v>
      </c>
      <c r="E1441" s="10" t="str">
        <f>HYPERLINK("https://twitter.com/Marzal_80/status/1069632926881644549","1069632926881644549")</f>
        <v>1069632926881644549</v>
      </c>
      <c r="F1441" s="12"/>
      <c r="G1441" s="12"/>
      <c r="H1441" s="12"/>
      <c r="I1441" s="13">
        <v>1</v>
      </c>
      <c r="J1441" s="13">
        <v>3</v>
      </c>
      <c r="K1441" s="14" t="str">
        <f>HYPERLINK("http://twitter.com/download/iphone","Twitter for iPhone")</f>
        <v>Twitter for iPhone</v>
      </c>
      <c r="L1441" s="13">
        <v>879</v>
      </c>
      <c r="M1441" s="13">
        <v>106</v>
      </c>
      <c r="N1441" s="13">
        <v>2</v>
      </c>
      <c r="O1441" s="15"/>
      <c r="P1441" s="6">
        <v>43386.657442129625</v>
      </c>
      <c r="Q1441" s="16" t="s">
        <v>4938</v>
      </c>
      <c r="R1441" s="17" t="s">
        <v>4939</v>
      </c>
      <c r="S1441" s="12"/>
      <c r="T1441" s="12"/>
      <c r="U1441" s="10" t="str">
        <f>HYPERLINK("https://pbs.twimg.com/profile_images/1054121555272392706/p7rnmoKe.jpg","View")</f>
        <v>View</v>
      </c>
    </row>
    <row r="1442" spans="1:21" ht="40.799999999999997">
      <c r="A1442" s="6">
        <v>43437.736307870371</v>
      </c>
      <c r="B1442" s="7" t="str">
        <f>HYPERLINK("https://twitter.com/TheObjective_es","@TheObjective_es")</f>
        <v>@TheObjective_es</v>
      </c>
      <c r="C1442" s="8" t="s">
        <v>83</v>
      </c>
      <c r="D1442" s="9" t="s">
        <v>4940</v>
      </c>
      <c r="E1442" s="10" t="str">
        <f>HYPERLINK("https://twitter.com/TheObjective_es/status/1069632423405735936","1069632423405735936")</f>
        <v>1069632423405735936</v>
      </c>
      <c r="F1442" s="11" t="s">
        <v>2678</v>
      </c>
      <c r="G1442" s="11" t="s">
        <v>4941</v>
      </c>
      <c r="H1442" s="12"/>
      <c r="I1442" s="13">
        <v>4</v>
      </c>
      <c r="J1442" s="13">
        <v>0</v>
      </c>
      <c r="K1442" s="14" t="str">
        <f>HYPERLINK("https://buffer.com","Buffer")</f>
        <v>Buffer</v>
      </c>
      <c r="L1442" s="13">
        <v>50878</v>
      </c>
      <c r="M1442" s="13">
        <v>704</v>
      </c>
      <c r="N1442" s="13">
        <v>1225</v>
      </c>
      <c r="O1442" s="15"/>
      <c r="P1442" s="6">
        <v>41473.393935185188</v>
      </c>
      <c r="Q1442" s="16" t="s">
        <v>86</v>
      </c>
      <c r="R1442" s="17" t="s">
        <v>87</v>
      </c>
      <c r="S1442" s="11" t="s">
        <v>88</v>
      </c>
      <c r="T1442" s="12"/>
      <c r="U1442" s="10" t="str">
        <f>HYPERLINK("https://pbs.twimg.com/profile_images/996760534082117632/umqvtWL2.jpg","View")</f>
        <v>View</v>
      </c>
    </row>
    <row r="1443" spans="1:21" ht="20.399999999999999">
      <c r="A1443" s="6">
        <v>43437.735138888893</v>
      </c>
      <c r="B1443" s="7" t="str">
        <f>HYPERLINK("https://twitter.com/RufusTF70861128","@RufusTF70861128")</f>
        <v>@RufusTF70861128</v>
      </c>
      <c r="C1443" s="8" t="s">
        <v>4942</v>
      </c>
      <c r="D1443" s="9" t="s">
        <v>4943</v>
      </c>
      <c r="E1443" s="10" t="str">
        <f>HYPERLINK("https://twitter.com/RufusTF70861128/status/1069631999730696192","1069631999730696192")</f>
        <v>1069631999730696192</v>
      </c>
      <c r="F1443" s="12"/>
      <c r="G1443" s="12"/>
      <c r="H1443" s="12"/>
      <c r="I1443" s="13">
        <v>0</v>
      </c>
      <c r="J1443" s="13">
        <v>0</v>
      </c>
      <c r="K1443" s="14" t="str">
        <f>HYPERLINK("http://twitter.com/download/android","Twitter for Android")</f>
        <v>Twitter for Android</v>
      </c>
      <c r="L1443" s="13">
        <v>1</v>
      </c>
      <c r="M1443" s="13">
        <v>11</v>
      </c>
      <c r="N1443" s="13">
        <v>0</v>
      </c>
      <c r="O1443" s="15"/>
      <c r="P1443" s="6">
        <v>43376.486504629633</v>
      </c>
      <c r="Q1443" s="16" t="s">
        <v>4944</v>
      </c>
      <c r="R1443" s="20"/>
      <c r="S1443" s="12"/>
      <c r="T1443" s="12"/>
      <c r="U1443" s="19" t="s">
        <v>359</v>
      </c>
    </row>
    <row r="1444" spans="1:21" ht="30.6">
      <c r="A1444" s="6">
        <v>43437.735092592593</v>
      </c>
      <c r="B1444" s="7" t="str">
        <f>HYPERLINK("https://twitter.com/franciscoasis77","@franciscoasis77")</f>
        <v>@franciscoasis77</v>
      </c>
      <c r="C1444" s="8" t="s">
        <v>4945</v>
      </c>
      <c r="D1444" s="9" t="s">
        <v>4946</v>
      </c>
      <c r="E1444" s="10" t="str">
        <f>HYPERLINK("https://twitter.com/franciscoasis77/status/1069631982496333825","1069631982496333825")</f>
        <v>1069631982496333825</v>
      </c>
      <c r="F1444" s="12"/>
      <c r="G1444" s="12"/>
      <c r="H1444" s="12"/>
      <c r="I1444" s="13">
        <v>0</v>
      </c>
      <c r="J1444" s="13">
        <v>0</v>
      </c>
      <c r="K1444" s="14" t="str">
        <f>HYPERLINK("http://www.facebook.com/twitter","Facebook")</f>
        <v>Facebook</v>
      </c>
      <c r="L1444" s="13">
        <v>28</v>
      </c>
      <c r="M1444" s="13">
        <v>486</v>
      </c>
      <c r="N1444" s="13">
        <v>0</v>
      </c>
      <c r="O1444" s="15"/>
      <c r="P1444" s="6">
        <v>42071.882997685185</v>
      </c>
      <c r="Q1444" s="16" t="s">
        <v>767</v>
      </c>
      <c r="R1444" s="17" t="s">
        <v>4947</v>
      </c>
      <c r="S1444" s="12"/>
      <c r="T1444" s="12"/>
      <c r="U1444" s="10" t="str">
        <f>HYPERLINK("https://pbs.twimg.com/profile_images/574664881649012736/VJmqcqig.jpeg","View")</f>
        <v>View</v>
      </c>
    </row>
    <row r="1445" spans="1:21" ht="20.399999999999999">
      <c r="A1445" s="6">
        <v>43437.734409722223</v>
      </c>
      <c r="B1445" s="7" t="str">
        <f>HYPERLINK("https://twitter.com/arenalcano","@arenalcano")</f>
        <v>@arenalcano</v>
      </c>
      <c r="C1445" s="8" t="s">
        <v>4948</v>
      </c>
      <c r="D1445" s="9" t="s">
        <v>4489</v>
      </c>
      <c r="E1445" s="10" t="str">
        <f>HYPERLINK("https://twitter.com/arenalcano/status/1069631738362642445","1069631738362642445")</f>
        <v>1069631738362642445</v>
      </c>
      <c r="F1445" s="11" t="s">
        <v>4093</v>
      </c>
      <c r="G1445" s="12"/>
      <c r="H1445" s="12"/>
      <c r="I1445" s="13">
        <v>0</v>
      </c>
      <c r="J1445" s="13">
        <v>0</v>
      </c>
      <c r="K1445" s="14" t="str">
        <f>HYPERLINK("http://twitter.com","Twitter Web Client")</f>
        <v>Twitter Web Client</v>
      </c>
      <c r="L1445" s="13">
        <v>118</v>
      </c>
      <c r="M1445" s="13">
        <v>106</v>
      </c>
      <c r="N1445" s="13">
        <v>2</v>
      </c>
      <c r="O1445" s="15"/>
      <c r="P1445" s="6">
        <v>41790.837094907409</v>
      </c>
      <c r="Q1445" s="12"/>
      <c r="R1445" s="17" t="s">
        <v>4949</v>
      </c>
      <c r="S1445" s="12"/>
      <c r="T1445" s="12"/>
      <c r="U1445" s="10" t="str">
        <f>HYPERLINK("https://pbs.twimg.com/profile_images/472805116039266304/k1NY5EN2.jpeg","View")</f>
        <v>View</v>
      </c>
    </row>
    <row r="1446" spans="1:21" ht="30.6">
      <c r="A1446" s="6">
        <v>43437.733946759261</v>
      </c>
      <c r="B1446" s="7" t="str">
        <f>HYPERLINK("https://twitter.com/franciscoasis77","@franciscoasis77")</f>
        <v>@franciscoasis77</v>
      </c>
      <c r="C1446" s="8" t="s">
        <v>4945</v>
      </c>
      <c r="D1446" s="9" t="s">
        <v>4950</v>
      </c>
      <c r="E1446" s="10" t="str">
        <f>HYPERLINK("https://twitter.com/franciscoasis77/status/1069631567159586817","1069631567159586817")</f>
        <v>1069631567159586817</v>
      </c>
      <c r="F1446" s="12"/>
      <c r="G1446" s="12"/>
      <c r="H1446" s="12"/>
      <c r="I1446" s="13">
        <v>0</v>
      </c>
      <c r="J1446" s="13">
        <v>0</v>
      </c>
      <c r="K1446" s="14" t="str">
        <f t="shared" ref="K1446:K1447" si="258">HYPERLINK("http://www.facebook.com/twitter","Facebook")</f>
        <v>Facebook</v>
      </c>
      <c r="L1446" s="13">
        <v>28</v>
      </c>
      <c r="M1446" s="13">
        <v>486</v>
      </c>
      <c r="N1446" s="13">
        <v>0</v>
      </c>
      <c r="O1446" s="15"/>
      <c r="P1446" s="6">
        <v>42071.882997685185</v>
      </c>
      <c r="Q1446" s="16" t="s">
        <v>767</v>
      </c>
      <c r="R1446" s="17" t="s">
        <v>4947</v>
      </c>
      <c r="S1446" s="12"/>
      <c r="T1446" s="12"/>
      <c r="U1446" s="10" t="str">
        <f>HYPERLINK("https://pbs.twimg.com/profile_images/574664881649012736/VJmqcqig.jpeg","View")</f>
        <v>View</v>
      </c>
    </row>
    <row r="1447" spans="1:21" ht="20.399999999999999">
      <c r="A1447" s="6">
        <v>43437.733807870369</v>
      </c>
      <c r="B1447" s="7" t="str">
        <f>HYPERLINK("https://twitter.com/Capitan2piR","@Capitan2piR")</f>
        <v>@Capitan2piR</v>
      </c>
      <c r="C1447" s="8" t="s">
        <v>4951</v>
      </c>
      <c r="D1447" s="9" t="s">
        <v>4952</v>
      </c>
      <c r="E1447" s="10" t="str">
        <f>HYPERLINK("https://twitter.com/Capitan2piR/status/1069631517369004037","1069631517369004037")</f>
        <v>1069631517369004037</v>
      </c>
      <c r="F1447" s="11" t="s">
        <v>4953</v>
      </c>
      <c r="G1447" s="12"/>
      <c r="H1447" s="12"/>
      <c r="I1447" s="13">
        <v>0</v>
      </c>
      <c r="J1447" s="13">
        <v>1</v>
      </c>
      <c r="K1447" s="14" t="str">
        <f t="shared" si="258"/>
        <v>Facebook</v>
      </c>
      <c r="L1447" s="13">
        <v>286</v>
      </c>
      <c r="M1447" s="13">
        <v>572</v>
      </c>
      <c r="N1447" s="13">
        <v>3</v>
      </c>
      <c r="O1447" s="15"/>
      <c r="P1447" s="6">
        <v>41650.954594907409</v>
      </c>
      <c r="Q1447" s="16" t="s">
        <v>4954</v>
      </c>
      <c r="R1447" s="17" t="s">
        <v>4955</v>
      </c>
      <c r="S1447" s="12"/>
      <c r="T1447" s="12"/>
      <c r="U1447" s="10" t="str">
        <f>HYPERLINK("https://pbs.twimg.com/profile_images/939076760825729024/GWLrSvj5.jpg","View")</f>
        <v>View</v>
      </c>
    </row>
    <row r="1448" spans="1:21" ht="40.799999999999997">
      <c r="A1448" s="6">
        <v>43437.733090277776</v>
      </c>
      <c r="B1448" s="7" t="str">
        <f>HYPERLINK("https://twitter.com/locodelpelorojo","@locodelpelorojo")</f>
        <v>@locodelpelorojo</v>
      </c>
      <c r="C1448" s="8" t="s">
        <v>4931</v>
      </c>
      <c r="D1448" s="9" t="s">
        <v>4956</v>
      </c>
      <c r="E1448" s="10" t="str">
        <f>HYPERLINK("https://twitter.com/locodelpelorojo/status/1069631256911056899","1069631256911056899")</f>
        <v>1069631256911056899</v>
      </c>
      <c r="F1448" s="11" t="s">
        <v>4957</v>
      </c>
      <c r="G1448" s="12"/>
      <c r="H1448" s="12"/>
      <c r="I1448" s="13">
        <v>5</v>
      </c>
      <c r="J1448" s="13">
        <v>4</v>
      </c>
      <c r="K1448" s="14" t="str">
        <f>HYPERLINK("http://twitter.com/download/android","Twitter for Android")</f>
        <v>Twitter for Android</v>
      </c>
      <c r="L1448" s="13">
        <v>11902</v>
      </c>
      <c r="M1448" s="13">
        <v>1079</v>
      </c>
      <c r="N1448" s="13">
        <v>575</v>
      </c>
      <c r="O1448" s="15"/>
      <c r="P1448" s="6">
        <v>39818.410254629627</v>
      </c>
      <c r="Q1448" s="16" t="s">
        <v>191</v>
      </c>
      <c r="R1448" s="17" t="s">
        <v>4934</v>
      </c>
      <c r="S1448" s="11" t="s">
        <v>4935</v>
      </c>
      <c r="T1448" s="12"/>
      <c r="U1448" s="10" t="str">
        <f>HYPERLINK("https://pbs.twimg.com/profile_images/722001502630514688/xYe2GDak.jpg","View")</f>
        <v>View</v>
      </c>
    </row>
    <row r="1449" spans="1:21" ht="40.799999999999997">
      <c r="A1449" s="6">
        <v>43437.725671296299</v>
      </c>
      <c r="B1449" s="7" t="str">
        <f>HYPERLINK("https://twitter.com/La_Cerca","@La_Cerca")</f>
        <v>@La_Cerca</v>
      </c>
      <c r="C1449" s="8" t="s">
        <v>832</v>
      </c>
      <c r="D1449" s="9" t="s">
        <v>4958</v>
      </c>
      <c r="E1449" s="10" t="str">
        <f>HYPERLINK("https://twitter.com/La_Cerca/status/1069628571268845568","1069628571268845568")</f>
        <v>1069628571268845568</v>
      </c>
      <c r="F1449" s="11" t="s">
        <v>4959</v>
      </c>
      <c r="G1449" s="12"/>
      <c r="H1449" s="12"/>
      <c r="I1449" s="13">
        <v>0</v>
      </c>
      <c r="J1449" s="13">
        <v>0</v>
      </c>
      <c r="K1449" s="14" t="str">
        <f>HYPERLINK("http://www.lacerca.com","La Cerca")</f>
        <v>La Cerca</v>
      </c>
      <c r="L1449" s="13">
        <v>18980</v>
      </c>
      <c r="M1449" s="13">
        <v>4970</v>
      </c>
      <c r="N1449" s="13">
        <v>337</v>
      </c>
      <c r="O1449" s="19" t="s">
        <v>44</v>
      </c>
      <c r="P1449" s="6">
        <v>40007.429652777777</v>
      </c>
      <c r="Q1449" s="16" t="s">
        <v>163</v>
      </c>
      <c r="R1449" s="17" t="s">
        <v>835</v>
      </c>
      <c r="S1449" s="11" t="s">
        <v>836</v>
      </c>
      <c r="T1449" s="12"/>
      <c r="U1449" s="10" t="str">
        <f>HYPERLINK("https://pbs.twimg.com/profile_images/1046758213843111937/MFsiNfy0.jpg","View")</f>
        <v>View</v>
      </c>
    </row>
    <row r="1450" spans="1:21" ht="20.399999999999999">
      <c r="A1450" s="6">
        <v>43437.725578703699</v>
      </c>
      <c r="B1450" s="7" t="str">
        <f>HYPERLINK("https://twitter.com/abuelafifi","@abuelafifi")</f>
        <v>@abuelafifi</v>
      </c>
      <c r="C1450" s="8" t="s">
        <v>4960</v>
      </c>
      <c r="D1450" s="9" t="s">
        <v>4961</v>
      </c>
      <c r="E1450" s="10" t="str">
        <f>HYPERLINK("https://twitter.com/abuelafifi/status/1069628536938524674","1069628536938524674")</f>
        <v>1069628536938524674</v>
      </c>
      <c r="F1450" s="11" t="s">
        <v>4962</v>
      </c>
      <c r="G1450" s="12"/>
      <c r="H1450" s="12"/>
      <c r="I1450" s="13">
        <v>0</v>
      </c>
      <c r="J1450" s="13">
        <v>0</v>
      </c>
      <c r="K1450" s="14" t="str">
        <f>HYPERLINK("http://twitter.com","Twitter Web Client")</f>
        <v>Twitter Web Client</v>
      </c>
      <c r="L1450" s="13">
        <v>370</v>
      </c>
      <c r="M1450" s="13">
        <v>594</v>
      </c>
      <c r="N1450" s="13">
        <v>27</v>
      </c>
      <c r="O1450" s="15"/>
      <c r="P1450" s="6">
        <v>41303.005196759259</v>
      </c>
      <c r="Q1450" s="16" t="s">
        <v>4963</v>
      </c>
      <c r="R1450" s="17" t="s">
        <v>4964</v>
      </c>
      <c r="S1450" s="12"/>
      <c r="T1450" s="12"/>
      <c r="U1450" s="10" t="str">
        <f>HYPERLINK("https://pbs.twimg.com/profile_images/1049738206747484164/n6GVRAJK.jpg","View")</f>
        <v>View</v>
      </c>
    </row>
    <row r="1451" spans="1:21" ht="30.6">
      <c r="A1451" s="6">
        <v>43437.725439814814</v>
      </c>
      <c r="B1451" s="7" t="str">
        <f>HYPERLINK("https://twitter.com/diana_alforja","@diana_alforja")</f>
        <v>@diana_alforja</v>
      </c>
      <c r="C1451" s="8" t="s">
        <v>4965</v>
      </c>
      <c r="D1451" s="9" t="s">
        <v>4966</v>
      </c>
      <c r="E1451" s="10" t="str">
        <f>HYPERLINK("https://twitter.com/diana_alforja/status/1069628485344342016","1069628485344342016")</f>
        <v>1069628485344342016</v>
      </c>
      <c r="F1451" s="11" t="s">
        <v>4967</v>
      </c>
      <c r="G1451" s="12"/>
      <c r="H1451" s="12"/>
      <c r="I1451" s="13">
        <v>1</v>
      </c>
      <c r="J1451" s="13">
        <v>0</v>
      </c>
      <c r="K1451" s="14" t="str">
        <f>HYPERLINK("http://twitter.com/download/android","Twitter for Android")</f>
        <v>Twitter for Android</v>
      </c>
      <c r="L1451" s="13">
        <v>4190</v>
      </c>
      <c r="M1451" s="13">
        <v>5001</v>
      </c>
      <c r="N1451" s="13">
        <v>57</v>
      </c>
      <c r="O1451" s="15"/>
      <c r="P1451" s="6">
        <v>41091.47592592593</v>
      </c>
      <c r="Q1451" s="12"/>
      <c r="R1451" s="17" t="s">
        <v>4968</v>
      </c>
      <c r="S1451" s="12"/>
      <c r="T1451" s="12"/>
      <c r="U1451" s="10" t="str">
        <f>HYPERLINK("https://pbs.twimg.com/profile_images/944183211592175616/C4L58NEQ.jpg","View")</f>
        <v>View</v>
      </c>
    </row>
    <row r="1452" spans="1:21" ht="40.799999999999997">
      <c r="A1452" s="6">
        <v>43437.724803240737</v>
      </c>
      <c r="B1452" s="7" t="str">
        <f>HYPERLINK("https://twitter.com/el_pais","@el_pais")</f>
        <v>@el_pais</v>
      </c>
      <c r="C1452" s="8" t="s">
        <v>4515</v>
      </c>
      <c r="D1452" s="9" t="s">
        <v>4516</v>
      </c>
      <c r="E1452" s="10" t="str">
        <f>HYPERLINK("https://twitter.com/el_pais/status/1069628253957226496","1069628253957226496")</f>
        <v>1069628253957226496</v>
      </c>
      <c r="F1452" s="11" t="s">
        <v>4517</v>
      </c>
      <c r="G1452" s="12"/>
      <c r="H1452" s="12"/>
      <c r="I1452" s="13">
        <v>93</v>
      </c>
      <c r="J1452" s="13">
        <v>81</v>
      </c>
      <c r="K1452" s="14" t="str">
        <f t="shared" ref="K1452:K1454" si="259">HYPERLINK("http://twitter.com","Twitter Web Client")</f>
        <v>Twitter Web Client</v>
      </c>
      <c r="L1452" s="13">
        <v>6735055</v>
      </c>
      <c r="M1452" s="13">
        <v>776</v>
      </c>
      <c r="N1452" s="13">
        <v>56002</v>
      </c>
      <c r="O1452" s="19" t="s">
        <v>44</v>
      </c>
      <c r="P1452" s="6">
        <v>39300.76399305556</v>
      </c>
      <c r="Q1452" s="16" t="s">
        <v>191</v>
      </c>
      <c r="R1452" s="17" t="s">
        <v>4518</v>
      </c>
      <c r="S1452" s="11" t="s">
        <v>4519</v>
      </c>
      <c r="T1452" s="12"/>
      <c r="U1452" s="10" t="str">
        <f>HYPERLINK("https://pbs.twimg.com/profile_images/815456059322036224/o_RQNEOh.jpg","View")</f>
        <v>View</v>
      </c>
    </row>
    <row r="1453" spans="1:21" ht="40.799999999999997">
      <c r="A1453" s="6">
        <v>43437.72148148148</v>
      </c>
      <c r="B1453" s="7" t="str">
        <f>HYPERLINK("https://twitter.com/identidadycultu","@identidadycultu")</f>
        <v>@identidadycultu</v>
      </c>
      <c r="C1453" s="8" t="s">
        <v>4969</v>
      </c>
      <c r="D1453" s="9" t="s">
        <v>4489</v>
      </c>
      <c r="E1453" s="10" t="str">
        <f>HYPERLINK("https://twitter.com/identidadycultu/status/1069627051219521540","1069627051219521540")</f>
        <v>1069627051219521540</v>
      </c>
      <c r="F1453" s="11" t="s">
        <v>4093</v>
      </c>
      <c r="G1453" s="12"/>
      <c r="H1453" s="12"/>
      <c r="I1453" s="13">
        <v>0</v>
      </c>
      <c r="J1453" s="13">
        <v>0</v>
      </c>
      <c r="K1453" s="14" t="str">
        <f t="shared" si="259"/>
        <v>Twitter Web Client</v>
      </c>
      <c r="L1453" s="13">
        <v>730</v>
      </c>
      <c r="M1453" s="13">
        <v>1693</v>
      </c>
      <c r="N1453" s="13">
        <v>18</v>
      </c>
      <c r="O1453" s="15"/>
      <c r="P1453" s="6">
        <v>41637.826793981483</v>
      </c>
      <c r="Q1453" s="16" t="s">
        <v>1455</v>
      </c>
      <c r="R1453" s="17" t="s">
        <v>4970</v>
      </c>
      <c r="S1453" s="12"/>
      <c r="T1453" s="12"/>
      <c r="U1453" s="10" t="str">
        <f>HYPERLINK("https://pbs.twimg.com/profile_images/451430138626863104/TDxikj1O.jpeg","View")</f>
        <v>View</v>
      </c>
    </row>
    <row r="1454" spans="1:21" ht="20.399999999999999">
      <c r="A1454" s="6">
        <v>43437.71806712963</v>
      </c>
      <c r="B1454" s="7" t="str">
        <f>HYPERLINK("https://twitter.com/doriangrey63","@doriangrey63")</f>
        <v>@doriangrey63</v>
      </c>
      <c r="C1454" s="8" t="s">
        <v>3426</v>
      </c>
      <c r="D1454" s="9" t="s">
        <v>4489</v>
      </c>
      <c r="E1454" s="10" t="str">
        <f>HYPERLINK("https://twitter.com/doriangrey63/status/1069625815690854400","1069625815690854400")</f>
        <v>1069625815690854400</v>
      </c>
      <c r="F1454" s="11" t="s">
        <v>4093</v>
      </c>
      <c r="G1454" s="12"/>
      <c r="H1454" s="12"/>
      <c r="I1454" s="13">
        <v>0</v>
      </c>
      <c r="J1454" s="13">
        <v>0</v>
      </c>
      <c r="K1454" s="14" t="str">
        <f t="shared" si="259"/>
        <v>Twitter Web Client</v>
      </c>
      <c r="L1454" s="13">
        <v>1104</v>
      </c>
      <c r="M1454" s="13">
        <v>1003</v>
      </c>
      <c r="N1454" s="13">
        <v>40</v>
      </c>
      <c r="O1454" s="15"/>
      <c r="P1454" s="6">
        <v>41166.431875000002</v>
      </c>
      <c r="Q1454" s="16" t="s">
        <v>48</v>
      </c>
      <c r="R1454" s="20"/>
      <c r="S1454" s="12"/>
      <c r="T1454" s="12"/>
      <c r="U1454" s="10" t="str">
        <f>HYPERLINK("https://pbs.twimg.com/profile_images/1057586706810056704/gwpzSr3B.jpg","View")</f>
        <v>View</v>
      </c>
    </row>
    <row r="1455" spans="1:21" ht="51">
      <c r="A1455" s="6">
        <v>43437.717997685184</v>
      </c>
      <c r="B1455" s="7" t="str">
        <f>HYPERLINK("https://twitter.com/AdAbsurdumBlog","@AdAbsurdumBlog")</f>
        <v>@AdAbsurdumBlog</v>
      </c>
      <c r="C1455" s="8" t="s">
        <v>4971</v>
      </c>
      <c r="D1455" s="9" t="s">
        <v>4972</v>
      </c>
      <c r="E1455" s="10" t="str">
        <f>HYPERLINK("https://twitter.com/AdAbsurdumBlog/status/1069625790931918848","1069625790931918848")</f>
        <v>1069625790931918848</v>
      </c>
      <c r="F1455" s="12"/>
      <c r="G1455" s="12"/>
      <c r="H1455" s="12"/>
      <c r="I1455" s="13">
        <v>38</v>
      </c>
      <c r="J1455" s="13">
        <v>106</v>
      </c>
      <c r="K1455" s="14" t="str">
        <f>HYPERLINK("http://twitter.com/download/android","Twitter for Android")</f>
        <v>Twitter for Android</v>
      </c>
      <c r="L1455" s="13">
        <v>12774</v>
      </c>
      <c r="M1455" s="13">
        <v>547</v>
      </c>
      <c r="N1455" s="13">
        <v>182</v>
      </c>
      <c r="O1455" s="15"/>
      <c r="P1455" s="6">
        <v>41724.914166666669</v>
      </c>
      <c r="Q1455" s="16" t="s">
        <v>4973</v>
      </c>
      <c r="R1455" s="17" t="s">
        <v>4974</v>
      </c>
      <c r="S1455" s="11" t="s">
        <v>4975</v>
      </c>
      <c r="T1455" s="12"/>
      <c r="U1455" s="10" t="str">
        <f>HYPERLINK("https://pbs.twimg.com/profile_images/846117473883766785/eL6TZEj0.jpg","View")</f>
        <v>View</v>
      </c>
    </row>
    <row r="1456" spans="1:21" ht="20.399999999999999">
      <c r="A1456" s="6">
        <v>43437.716458333336</v>
      </c>
      <c r="B1456" s="7" t="str">
        <f>HYPERLINK("https://twitter.com/ecorepublicano","@ecorepublicano")</f>
        <v>@ecorepublicano</v>
      </c>
      <c r="C1456" s="8" t="s">
        <v>4976</v>
      </c>
      <c r="D1456" s="9" t="s">
        <v>4977</v>
      </c>
      <c r="E1456" s="10" t="str">
        <f>HYPERLINK("https://twitter.com/ecorepublicano/status/1069625231432736768","1069625231432736768")</f>
        <v>1069625231432736768</v>
      </c>
      <c r="F1456" s="12"/>
      <c r="G1456" s="11" t="s">
        <v>4920</v>
      </c>
      <c r="H1456" s="12"/>
      <c r="I1456" s="13">
        <v>111</v>
      </c>
      <c r="J1456" s="13">
        <v>166</v>
      </c>
      <c r="K1456" s="14" t="str">
        <f>HYPERLINK("http://twitter.com/download/iphone","Twitter for iPhone")</f>
        <v>Twitter for iPhone</v>
      </c>
      <c r="L1456" s="13">
        <v>175187</v>
      </c>
      <c r="M1456" s="13">
        <v>94805</v>
      </c>
      <c r="N1456" s="13">
        <v>848</v>
      </c>
      <c r="O1456" s="15"/>
      <c r="P1456" s="6">
        <v>40686.565243055556</v>
      </c>
      <c r="Q1456" s="16" t="s">
        <v>48</v>
      </c>
      <c r="R1456" s="17" t="s">
        <v>4978</v>
      </c>
      <c r="S1456" s="11" t="s">
        <v>4979</v>
      </c>
      <c r="T1456" s="12"/>
      <c r="U1456" s="10" t="str">
        <f>HYPERLINK("https://pbs.twimg.com/profile_images/1017891325029572608/lFqOkfFM.jpg","View")</f>
        <v>View</v>
      </c>
    </row>
    <row r="1457" spans="1:21" ht="40.799999999999997">
      <c r="A1457" s="6">
        <v>43437.711805555555</v>
      </c>
      <c r="B1457" s="7" t="str">
        <f>HYPERLINK("https://twitter.com/caval100","@caval100")</f>
        <v>@caval100</v>
      </c>
      <c r="C1457" s="8" t="s">
        <v>72</v>
      </c>
      <c r="D1457" s="9" t="s">
        <v>4980</v>
      </c>
      <c r="E1457" s="10" t="str">
        <f>HYPERLINK("https://twitter.com/caval100/status/1069623545095905280","1069623545095905280")</f>
        <v>1069623545095905280</v>
      </c>
      <c r="F1457" s="11" t="s">
        <v>74</v>
      </c>
      <c r="G1457" s="12"/>
      <c r="H1457" s="12"/>
      <c r="I1457" s="13">
        <v>0</v>
      </c>
      <c r="J1457" s="13">
        <v>0</v>
      </c>
      <c r="K1457" s="14" t="str">
        <f>HYPERLINK("https://about.twitter.com/products/tweetdeck","TweetDeck")</f>
        <v>TweetDeck</v>
      </c>
      <c r="L1457" s="13">
        <v>119343</v>
      </c>
      <c r="M1457" s="13">
        <v>94000</v>
      </c>
      <c r="N1457" s="13">
        <v>982</v>
      </c>
      <c r="O1457" s="15"/>
      <c r="P1457" s="6">
        <v>40079.437094907407</v>
      </c>
      <c r="Q1457" s="16" t="s">
        <v>75</v>
      </c>
      <c r="R1457" s="17" t="s">
        <v>76</v>
      </c>
      <c r="S1457" s="11" t="s">
        <v>77</v>
      </c>
      <c r="T1457" s="12"/>
      <c r="U1457" s="10" t="str">
        <f>HYPERLINK("https://pbs.twimg.com/profile_images/965350678301429760/uvGI7g8U.jpg","View")</f>
        <v>View</v>
      </c>
    </row>
    <row r="1458" spans="1:21" ht="20.399999999999999">
      <c r="A1458" s="6">
        <v>43437.711597222224</v>
      </c>
      <c r="B1458" s="7" t="str">
        <f>HYPERLINK("https://twitter.com/L20mOtros","@L20mOtros")</f>
        <v>@L20mOtros</v>
      </c>
      <c r="C1458" s="8" t="s">
        <v>182</v>
      </c>
      <c r="D1458" s="9" t="s">
        <v>4876</v>
      </c>
      <c r="E1458" s="10" t="str">
        <f>HYPERLINK("https://twitter.com/L20mOtros/status/1069623470147940352","1069623470147940352")</f>
        <v>1069623470147940352</v>
      </c>
      <c r="F1458" s="11" t="s">
        <v>4981</v>
      </c>
      <c r="G1458" s="11" t="s">
        <v>4982</v>
      </c>
      <c r="H1458" s="12"/>
      <c r="I1458" s="13">
        <v>0</v>
      </c>
      <c r="J1458" s="13">
        <v>0</v>
      </c>
      <c r="K1458" s="14" t="str">
        <f>HYPERLINK("http://dogtrack.es","DogTrack_Oficial")</f>
        <v>DogTrack_Oficial</v>
      </c>
      <c r="L1458" s="13">
        <v>23</v>
      </c>
      <c r="M1458" s="13">
        <v>8</v>
      </c>
      <c r="N1458" s="13">
        <v>0</v>
      </c>
      <c r="O1458" s="15"/>
      <c r="P1458" s="6">
        <v>41285.602418981478</v>
      </c>
      <c r="Q1458" s="12"/>
      <c r="R1458" s="20"/>
      <c r="S1458" s="11" t="s">
        <v>187</v>
      </c>
      <c r="T1458" s="12"/>
      <c r="U1458" s="10" t="str">
        <f>HYPERLINK("https://pbs.twimg.com/profile_images/3148562799/6854a445e373c5053b43f5c11d764b41.jpeg","View")</f>
        <v>View</v>
      </c>
    </row>
    <row r="1459" spans="1:21" ht="20.399999999999999">
      <c r="A1459" s="6">
        <v>43437.7109375</v>
      </c>
      <c r="B1459" s="7" t="str">
        <f>HYPERLINK("https://twitter.com/rdossantos","@rdossantos")</f>
        <v>@rdossantos</v>
      </c>
      <c r="C1459" s="8" t="s">
        <v>4983</v>
      </c>
      <c r="D1459" s="9" t="s">
        <v>4984</v>
      </c>
      <c r="E1459" s="10" t="str">
        <f>HYPERLINK("https://twitter.com/rdossantos/status/1069623230661648385","1069623230661648385")</f>
        <v>1069623230661648385</v>
      </c>
      <c r="F1459" s="11" t="s">
        <v>4388</v>
      </c>
      <c r="G1459" s="12"/>
      <c r="H1459" s="12"/>
      <c r="I1459" s="13">
        <v>0</v>
      </c>
      <c r="J1459" s="13">
        <v>0</v>
      </c>
      <c r="K1459" s="14" t="str">
        <f>HYPERLINK("http://twitter.com","Twitter Web Client")</f>
        <v>Twitter Web Client</v>
      </c>
      <c r="L1459" s="13">
        <v>619</v>
      </c>
      <c r="M1459" s="13">
        <v>1194</v>
      </c>
      <c r="N1459" s="13">
        <v>20</v>
      </c>
      <c r="O1459" s="15"/>
      <c r="P1459" s="6">
        <v>39912.778182870374</v>
      </c>
      <c r="Q1459" s="16" t="s">
        <v>4985</v>
      </c>
      <c r="R1459" s="17" t="s">
        <v>4986</v>
      </c>
      <c r="S1459" s="11" t="s">
        <v>4987</v>
      </c>
      <c r="T1459" s="12"/>
      <c r="U1459" s="10" t="str">
        <f>HYPERLINK("https://pbs.twimg.com/profile_images/3323256883/2cb11c831c4f02c01dde002e9f020dc2.jpeg","View")</f>
        <v>View</v>
      </c>
    </row>
    <row r="1460" spans="1:21" ht="30.6">
      <c r="A1460" s="6">
        <v>43437.707743055551</v>
      </c>
      <c r="B1460" s="7" t="str">
        <f>HYPERLINK("https://twitter.com/ItsLeorev21","@ItsLeorev21")</f>
        <v>@ItsLeorev21</v>
      </c>
      <c r="C1460" s="8" t="s">
        <v>4988</v>
      </c>
      <c r="D1460" s="9" t="s">
        <v>4989</v>
      </c>
      <c r="E1460" s="10" t="str">
        <f>HYPERLINK("https://twitter.com/ItsLeorev21/status/1069622071481765889","1069622071481765889")</f>
        <v>1069622071481765889</v>
      </c>
      <c r="F1460" s="12"/>
      <c r="G1460" s="12"/>
      <c r="H1460" s="12"/>
      <c r="I1460" s="13">
        <v>0</v>
      </c>
      <c r="J1460" s="13">
        <v>2</v>
      </c>
      <c r="K1460" s="14" t="str">
        <f>HYPERLINK("http://twitter.com/download/iphone","Twitter for iPhone")</f>
        <v>Twitter for iPhone</v>
      </c>
      <c r="L1460" s="13">
        <v>164</v>
      </c>
      <c r="M1460" s="13">
        <v>408</v>
      </c>
      <c r="N1460" s="13">
        <v>3</v>
      </c>
      <c r="O1460" s="15"/>
      <c r="P1460" s="6">
        <v>42404.661412037036</v>
      </c>
      <c r="Q1460" s="12"/>
      <c r="R1460" s="17" t="s">
        <v>4990</v>
      </c>
      <c r="S1460" s="12"/>
      <c r="T1460" s="12"/>
      <c r="U1460" s="10" t="str">
        <f>HYPERLINK("https://pbs.twimg.com/profile_images/1061581424573235200/jwtyBpuB.jpg","View")</f>
        <v>View</v>
      </c>
    </row>
    <row r="1461" spans="1:21" ht="51">
      <c r="A1461" s="6">
        <v>43437.707442129627</v>
      </c>
      <c r="B1461" s="7" t="str">
        <f>HYPERLINK("https://twitter.com/clasicoco","@clasicoco")</f>
        <v>@clasicoco</v>
      </c>
      <c r="C1461" s="8" t="s">
        <v>4991</v>
      </c>
      <c r="D1461" s="9" t="s">
        <v>4992</v>
      </c>
      <c r="E1461" s="10" t="str">
        <f>HYPERLINK("https://twitter.com/clasicoco/status/1069621965449830403","1069621965449830403")</f>
        <v>1069621965449830403</v>
      </c>
      <c r="F1461" s="12"/>
      <c r="G1461" s="12"/>
      <c r="H1461" s="12"/>
      <c r="I1461" s="13">
        <v>0</v>
      </c>
      <c r="J1461" s="13">
        <v>0</v>
      </c>
      <c r="K1461" s="14" t="str">
        <f t="shared" ref="K1461:K1466" si="260">HYPERLINK("http://twitter.com","Twitter Web Client")</f>
        <v>Twitter Web Client</v>
      </c>
      <c r="L1461" s="13">
        <v>436</v>
      </c>
      <c r="M1461" s="13">
        <v>485</v>
      </c>
      <c r="N1461" s="13">
        <v>5</v>
      </c>
      <c r="O1461" s="15"/>
      <c r="P1461" s="6">
        <v>40246.678402777776</v>
      </c>
      <c r="Q1461" s="16" t="s">
        <v>4993</v>
      </c>
      <c r="R1461" s="17" t="s">
        <v>4994</v>
      </c>
      <c r="S1461" s="11" t="s">
        <v>4995</v>
      </c>
      <c r="T1461" s="12"/>
      <c r="U1461" s="10" t="str">
        <f>HYPERLINK("https://pbs.twimg.com/profile_images/944616430812762113/q_WuIeT2.jpg","View")</f>
        <v>View</v>
      </c>
    </row>
    <row r="1462" spans="1:21" ht="20.399999999999999">
      <c r="A1462" s="6">
        <v>43437.70517361111</v>
      </c>
      <c r="B1462" s="7" t="str">
        <f>HYPERLINK("https://twitter.com/nicolmaduro","@nicolmaduro")</f>
        <v>@nicolmaduro</v>
      </c>
      <c r="C1462" s="8" t="s">
        <v>4997</v>
      </c>
      <c r="D1462" s="9" t="s">
        <v>4998</v>
      </c>
      <c r="E1462" s="10" t="str">
        <f>HYPERLINK("https://twitter.com/nicolmaduro/status/1069621140384112640","1069621140384112640")</f>
        <v>1069621140384112640</v>
      </c>
      <c r="F1462" s="12"/>
      <c r="G1462" s="11" t="s">
        <v>4999</v>
      </c>
      <c r="H1462" s="12"/>
      <c r="I1462" s="13">
        <v>0</v>
      </c>
      <c r="J1462" s="13">
        <v>0</v>
      </c>
      <c r="K1462" s="14" t="str">
        <f t="shared" si="260"/>
        <v>Twitter Web Client</v>
      </c>
      <c r="L1462" s="13">
        <v>891</v>
      </c>
      <c r="M1462" s="13">
        <v>700</v>
      </c>
      <c r="N1462" s="13">
        <v>19</v>
      </c>
      <c r="O1462" s="15"/>
      <c r="P1462" s="6">
        <v>40826.827499999999</v>
      </c>
      <c r="Q1462" s="12"/>
      <c r="R1462" s="17" t="s">
        <v>5000</v>
      </c>
      <c r="S1462" s="12"/>
      <c r="T1462" s="12"/>
      <c r="U1462" s="10" t="str">
        <f>HYPERLINK("https://pbs.twimg.com/profile_images/569862148625416192/nmCspzgm.png","View")</f>
        <v>View</v>
      </c>
    </row>
    <row r="1463" spans="1:21" ht="20.399999999999999">
      <c r="A1463" s="6">
        <v>43437.705011574071</v>
      </c>
      <c r="B1463" s="7" t="str">
        <f>HYPERLINK("https://twitter.com/FuckinMadrid","@FuckinMadrid")</f>
        <v>@FuckinMadrid</v>
      </c>
      <c r="C1463" s="8" t="s">
        <v>5003</v>
      </c>
      <c r="D1463" s="9" t="s">
        <v>5004</v>
      </c>
      <c r="E1463" s="10" t="str">
        <f>HYPERLINK("https://twitter.com/FuckinMadrid/status/1069621081596669952","1069621081596669952")</f>
        <v>1069621081596669952</v>
      </c>
      <c r="F1463" s="12"/>
      <c r="G1463" s="11" t="s">
        <v>5005</v>
      </c>
      <c r="H1463" s="12"/>
      <c r="I1463" s="13">
        <v>0</v>
      </c>
      <c r="J1463" s="13">
        <v>1</v>
      </c>
      <c r="K1463" s="14" t="str">
        <f t="shared" si="260"/>
        <v>Twitter Web Client</v>
      </c>
      <c r="L1463" s="13">
        <v>500</v>
      </c>
      <c r="M1463" s="13">
        <v>526</v>
      </c>
      <c r="N1463" s="13">
        <v>11</v>
      </c>
      <c r="O1463" s="15"/>
      <c r="P1463" s="6">
        <v>40753.740254629629</v>
      </c>
      <c r="Q1463" s="16" t="s">
        <v>48</v>
      </c>
      <c r="R1463" s="17" t="s">
        <v>5006</v>
      </c>
      <c r="S1463" s="11" t="s">
        <v>5007</v>
      </c>
      <c r="T1463" s="12"/>
      <c r="U1463" s="10" t="str">
        <f>HYPERLINK("https://pbs.twimg.com/profile_images/972110392196501504/BX2O3S9A.jpg","View")</f>
        <v>View</v>
      </c>
    </row>
    <row r="1464" spans="1:21" ht="20.399999999999999">
      <c r="A1464" s="6">
        <v>43437.703009259261</v>
      </c>
      <c r="B1464" s="7" t="str">
        <f>HYPERLINK("https://twitter.com/martagmez_","@martagmez_")</f>
        <v>@martagmez_</v>
      </c>
      <c r="C1464" s="8" t="s">
        <v>5008</v>
      </c>
      <c r="D1464" s="9" t="s">
        <v>5009</v>
      </c>
      <c r="E1464" s="10" t="str">
        <f>HYPERLINK("https://twitter.com/martagmez_/status/1069620356657369090","1069620356657369090")</f>
        <v>1069620356657369090</v>
      </c>
      <c r="F1464" s="12"/>
      <c r="G1464" s="12"/>
      <c r="H1464" s="12"/>
      <c r="I1464" s="13">
        <v>0</v>
      </c>
      <c r="J1464" s="13">
        <v>2</v>
      </c>
      <c r="K1464" s="14" t="str">
        <f t="shared" si="260"/>
        <v>Twitter Web Client</v>
      </c>
      <c r="L1464" s="13">
        <v>953</v>
      </c>
      <c r="M1464" s="13">
        <v>300</v>
      </c>
      <c r="N1464" s="13">
        <v>10</v>
      </c>
      <c r="O1464" s="15"/>
      <c r="P1464" s="6">
        <v>40999.818888888891</v>
      </c>
      <c r="Q1464" s="16" t="s">
        <v>5010</v>
      </c>
      <c r="R1464" s="17" t="s">
        <v>5011</v>
      </c>
      <c r="S1464" s="12"/>
      <c r="T1464" s="12"/>
      <c r="U1464" s="10" t="str">
        <f>HYPERLINK("https://pbs.twimg.com/profile_images/1067379840247046144/3gO_Ch-s.jpg","View")</f>
        <v>View</v>
      </c>
    </row>
    <row r="1465" spans="1:21" ht="40.799999999999997">
      <c r="A1465" s="6">
        <v>43437.701145833329</v>
      </c>
      <c r="B1465" s="7" t="str">
        <f>HYPERLINK("https://twitter.com/Canal_Z_","@Canal_Z_")</f>
        <v>@Canal_Z_</v>
      </c>
      <c r="C1465" s="8" t="s">
        <v>3279</v>
      </c>
      <c r="D1465" s="9" t="s">
        <v>4876</v>
      </c>
      <c r="E1465" s="10" t="str">
        <f>HYPERLINK("https://twitter.com/Canal_Z_/status/1069619681600958465","1069619681600958465")</f>
        <v>1069619681600958465</v>
      </c>
      <c r="F1465" s="11" t="s">
        <v>5012</v>
      </c>
      <c r="G1465" s="11" t="s">
        <v>5013</v>
      </c>
      <c r="H1465" s="12"/>
      <c r="I1465" s="13">
        <v>0</v>
      </c>
      <c r="J1465" s="13">
        <v>1</v>
      </c>
      <c r="K1465" s="14" t="str">
        <f t="shared" si="260"/>
        <v>Twitter Web Client</v>
      </c>
      <c r="L1465" s="13">
        <v>2622</v>
      </c>
      <c r="M1465" s="13">
        <v>4996</v>
      </c>
      <c r="N1465" s="13">
        <v>10</v>
      </c>
      <c r="O1465" s="15"/>
      <c r="P1465" s="6">
        <v>41462.275254629625</v>
      </c>
      <c r="Q1465" s="16" t="s">
        <v>48</v>
      </c>
      <c r="R1465" s="17" t="s">
        <v>3282</v>
      </c>
      <c r="S1465" s="12"/>
      <c r="T1465" s="12"/>
      <c r="U1465" s="10" t="str">
        <f>HYPERLINK("https://pbs.twimg.com/profile_images/1008407123242422272/aENpWjy6.jpg","View")</f>
        <v>View</v>
      </c>
    </row>
    <row r="1466" spans="1:21" ht="51">
      <c r="A1466" s="6">
        <v>43437.698599537034</v>
      </c>
      <c r="B1466" s="7" t="str">
        <f>HYPERLINK("https://twitter.com/LIBERATIBUS","@LIBERATIBUS")</f>
        <v>@LIBERATIBUS</v>
      </c>
      <c r="C1466" s="8" t="s">
        <v>4996</v>
      </c>
      <c r="D1466" s="9" t="s">
        <v>5015</v>
      </c>
      <c r="E1466" s="10" t="str">
        <f>HYPERLINK("https://twitter.com/LIBERATIBUS/status/1069618758124273664","1069618758124273664")</f>
        <v>1069618758124273664</v>
      </c>
      <c r="F1466" s="11" t="s">
        <v>4388</v>
      </c>
      <c r="G1466" s="12"/>
      <c r="H1466" s="12"/>
      <c r="I1466" s="13">
        <v>0</v>
      </c>
      <c r="J1466" s="13">
        <v>0</v>
      </c>
      <c r="K1466" s="14" t="str">
        <f t="shared" si="260"/>
        <v>Twitter Web Client</v>
      </c>
      <c r="L1466" s="13">
        <v>92</v>
      </c>
      <c r="M1466" s="13">
        <v>113</v>
      </c>
      <c r="N1466" s="13">
        <v>2</v>
      </c>
      <c r="O1466" s="15"/>
      <c r="P1466" s="6">
        <v>41395.691041666665</v>
      </c>
      <c r="Q1466" s="12"/>
      <c r="R1466" s="17" t="s">
        <v>5001</v>
      </c>
      <c r="S1466" s="11" t="s">
        <v>5002</v>
      </c>
      <c r="T1466" s="12"/>
      <c r="U1466" s="10" t="str">
        <f>HYPERLINK("https://pbs.twimg.com/profile_images/667443206745886721/UBBGkYC1.png","View")</f>
        <v>View</v>
      </c>
    </row>
    <row r="1467" spans="1:21" ht="20.399999999999999">
      <c r="A1467" s="6">
        <v>43437.697291666671</v>
      </c>
      <c r="B1467" s="7" t="str">
        <f>HYPERLINK("https://twitter.com/CristoFeliz1","@CristoFeliz1")</f>
        <v>@CristoFeliz1</v>
      </c>
      <c r="C1467" s="8" t="s">
        <v>172</v>
      </c>
      <c r="D1467" s="9" t="s">
        <v>4876</v>
      </c>
      <c r="E1467" s="10" t="str">
        <f>HYPERLINK("https://twitter.com/CristoFeliz1/status/1069618287074373632","1069618287074373632")</f>
        <v>1069618287074373632</v>
      </c>
      <c r="F1467" s="11" t="s">
        <v>5019</v>
      </c>
      <c r="G1467" s="11" t="s">
        <v>5020</v>
      </c>
      <c r="H1467" s="12"/>
      <c r="I1467" s="13">
        <v>0</v>
      </c>
      <c r="J1467" s="13">
        <v>0</v>
      </c>
      <c r="K1467" s="14" t="str">
        <f>HYPERLINK("https://dlvrit.com/","dlvr.it")</f>
        <v>dlvr.it</v>
      </c>
      <c r="L1467" s="13">
        <v>7015</v>
      </c>
      <c r="M1467" s="13">
        <v>7733</v>
      </c>
      <c r="N1467" s="13">
        <v>561</v>
      </c>
      <c r="O1467" s="15"/>
      <c r="P1467" s="6">
        <v>41186.866469907407</v>
      </c>
      <c r="Q1467" s="16" t="s">
        <v>175</v>
      </c>
      <c r="R1467" s="17" t="s">
        <v>176</v>
      </c>
      <c r="S1467" s="12"/>
      <c r="T1467" s="12"/>
      <c r="U1467" s="10" t="str">
        <f>HYPERLINK("https://pbs.twimg.com/profile_images/1002564938911703040/1Wvxy6Jm.jpg","View")</f>
        <v>View</v>
      </c>
    </row>
    <row r="1468" spans="1:21" ht="40.799999999999997">
      <c r="A1468" s="6">
        <v>43437.695763888885</v>
      </c>
      <c r="B1468" s="7" t="str">
        <f>HYPERLINK("https://twitter.com/K_Wendy_Ozz","@K_Wendy_Ozz")</f>
        <v>@K_Wendy_Ozz</v>
      </c>
      <c r="C1468" s="8" t="s">
        <v>5021</v>
      </c>
      <c r="D1468" s="9" t="s">
        <v>5022</v>
      </c>
      <c r="E1468" s="10" t="str">
        <f>HYPERLINK("https://twitter.com/K_Wendy_Ozz/status/1069617732893769728","1069617732893769728")</f>
        <v>1069617732893769728</v>
      </c>
      <c r="F1468" s="11" t="s">
        <v>5023</v>
      </c>
      <c r="G1468" s="12"/>
      <c r="H1468" s="12"/>
      <c r="I1468" s="13">
        <v>0</v>
      </c>
      <c r="J1468" s="13">
        <v>0</v>
      </c>
      <c r="K1468" s="14" t="str">
        <f>HYPERLINK("http://twitter.com","Twitter Web Client")</f>
        <v>Twitter Web Client</v>
      </c>
      <c r="L1468" s="13">
        <v>0</v>
      </c>
      <c r="M1468" s="13">
        <v>0</v>
      </c>
      <c r="N1468" s="13">
        <v>0</v>
      </c>
      <c r="O1468" s="15"/>
      <c r="P1468" s="6">
        <v>40691.146493055552</v>
      </c>
      <c r="Q1468" s="16" t="s">
        <v>5024</v>
      </c>
      <c r="R1468" s="20"/>
      <c r="S1468" s="12"/>
      <c r="T1468" s="12"/>
      <c r="U1468" s="10" t="str">
        <f>HYPERLINK("https://pbs.twimg.com/profile_images/1371728084/god_farside.jpg","View")</f>
        <v>View</v>
      </c>
    </row>
    <row r="1469" spans="1:21" ht="30.6">
      <c r="A1469" s="6">
        <v>43437.695543981477</v>
      </c>
      <c r="B1469" s="7" t="str">
        <f>HYPERLINK("https://twitter.com/juanmalamet","@juanmalamet")</f>
        <v>@juanmalamet</v>
      </c>
      <c r="C1469" s="8" t="s">
        <v>329</v>
      </c>
      <c r="D1469" s="9" t="s">
        <v>4489</v>
      </c>
      <c r="E1469" s="10" t="str">
        <f>HYPERLINK("https://twitter.com/juanmalamet/status/1069617651423547392","1069617651423547392")</f>
        <v>1069617651423547392</v>
      </c>
      <c r="F1469" s="11" t="s">
        <v>4093</v>
      </c>
      <c r="G1469" s="12"/>
      <c r="H1469" s="12"/>
      <c r="I1469" s="13">
        <v>12</v>
      </c>
      <c r="J1469" s="13">
        <v>14</v>
      </c>
      <c r="K1469" s="14" t="str">
        <f>HYPERLINK("http://twitter.com/download/android","Twitter for Android")</f>
        <v>Twitter for Android</v>
      </c>
      <c r="L1469" s="13">
        <v>5097</v>
      </c>
      <c r="M1469" s="13">
        <v>1758</v>
      </c>
      <c r="N1469" s="13">
        <v>151</v>
      </c>
      <c r="O1469" s="15"/>
      <c r="P1469" s="6">
        <v>40417.810729166667</v>
      </c>
      <c r="Q1469" s="16" t="s">
        <v>332</v>
      </c>
      <c r="R1469" s="17" t="s">
        <v>333</v>
      </c>
      <c r="S1469" s="12"/>
      <c r="T1469" s="12"/>
      <c r="U1469" s="10" t="str">
        <f>HYPERLINK("https://pbs.twimg.com/profile_images/1038932595508240384/Cdfn4Nk8.jpg","View")</f>
        <v>View</v>
      </c>
    </row>
    <row r="1470" spans="1:21" ht="40.799999999999997">
      <c r="A1470" s="6">
        <v>43437.688831018517</v>
      </c>
      <c r="B1470" s="7" t="str">
        <f>HYPERLINK("https://twitter.com/GraceKillian2","@GraceKillian2")</f>
        <v>@GraceKillian2</v>
      </c>
      <c r="C1470" s="8" t="s">
        <v>5025</v>
      </c>
      <c r="D1470" s="9" t="s">
        <v>5026</v>
      </c>
      <c r="E1470" s="10" t="str">
        <f>HYPERLINK("https://twitter.com/GraceKillian2/status/1069615221638160384","1069615221638160384")</f>
        <v>1069615221638160384</v>
      </c>
      <c r="F1470" s="11" t="s">
        <v>4093</v>
      </c>
      <c r="G1470" s="12"/>
      <c r="H1470" s="12"/>
      <c r="I1470" s="13">
        <v>0</v>
      </c>
      <c r="J1470" s="13">
        <v>0</v>
      </c>
      <c r="K1470" s="14" t="str">
        <f>HYPERLINK("http://twitter.com","Twitter Web Client")</f>
        <v>Twitter Web Client</v>
      </c>
      <c r="L1470" s="13">
        <v>1</v>
      </c>
      <c r="M1470" s="13">
        <v>5</v>
      </c>
      <c r="N1470" s="13">
        <v>0</v>
      </c>
      <c r="O1470" s="15"/>
      <c r="P1470" s="6">
        <v>43348.674178240741</v>
      </c>
      <c r="Q1470" s="12"/>
      <c r="R1470" s="20"/>
      <c r="S1470" s="12"/>
      <c r="T1470" s="12"/>
      <c r="U1470" s="10" t="str">
        <f>HYPERLINK("https://pbs.twimg.com/profile_images/1042449922971377664/1_pTGJa0.jpg","View")</f>
        <v>View</v>
      </c>
    </row>
    <row r="1471" spans="1:21" ht="30.6">
      <c r="A1471" s="6">
        <v>43437.686539351853</v>
      </c>
      <c r="B1471" s="7" t="str">
        <f>HYPERLINK("https://twitter.com/Aeroapollardao","@Aeroapollardao")</f>
        <v>@Aeroapollardao</v>
      </c>
      <c r="C1471" s="8" t="s">
        <v>5027</v>
      </c>
      <c r="D1471" s="9" t="s">
        <v>5028</v>
      </c>
      <c r="E1471" s="10" t="str">
        <f>HYPERLINK("https://twitter.com/Aeroapollardao/status/1069614390750707712","1069614390750707712")</f>
        <v>1069614390750707712</v>
      </c>
      <c r="F1471" s="12"/>
      <c r="G1471" s="12"/>
      <c r="H1471" s="12"/>
      <c r="I1471" s="13">
        <v>0</v>
      </c>
      <c r="J1471" s="13">
        <v>1</v>
      </c>
      <c r="K1471" s="14" t="str">
        <f>HYPERLINK("http://twitter.com/download/iphone","Twitter for iPhone")</f>
        <v>Twitter for iPhone</v>
      </c>
      <c r="L1471" s="13">
        <v>585</v>
      </c>
      <c r="M1471" s="13">
        <v>574</v>
      </c>
      <c r="N1471" s="13">
        <v>20</v>
      </c>
      <c r="O1471" s="15"/>
      <c r="P1471" s="6">
        <v>41007.985196759255</v>
      </c>
      <c r="Q1471" s="16" t="s">
        <v>370</v>
      </c>
      <c r="R1471" s="17" t="s">
        <v>5029</v>
      </c>
      <c r="S1471" s="11" t="s">
        <v>5030</v>
      </c>
      <c r="T1471" s="12"/>
      <c r="U1471" s="10" t="str">
        <f>HYPERLINK("https://pbs.twimg.com/profile_images/1070887823752998912/tVYpfIr7.jpg","View")</f>
        <v>View</v>
      </c>
    </row>
    <row r="1472" spans="1:21" ht="40.799999999999997">
      <c r="A1472" s="6">
        <v>43437.679212962961</v>
      </c>
      <c r="B1472" s="7" t="str">
        <f>HYPERLINK("https://twitter.com/inmapatonmas","@inmapatonmas")</f>
        <v>@inmapatonmas</v>
      </c>
      <c r="C1472" s="8" t="s">
        <v>5031</v>
      </c>
      <c r="D1472" s="9" t="s">
        <v>5032</v>
      </c>
      <c r="E1472" s="10" t="str">
        <f>HYPERLINK("https://twitter.com/inmapatonmas/status/1069611735856947200","1069611735856947200")</f>
        <v>1069611735856947200</v>
      </c>
      <c r="F1472" s="12"/>
      <c r="G1472" s="11" t="s">
        <v>5033</v>
      </c>
      <c r="H1472" s="12"/>
      <c r="I1472" s="13">
        <v>6</v>
      </c>
      <c r="J1472" s="13">
        <v>2</v>
      </c>
      <c r="K1472" s="14" t="str">
        <f>HYPERLINK("http://twitter.com/download/android","Twitter for Android")</f>
        <v>Twitter for Android</v>
      </c>
      <c r="L1472" s="13">
        <v>130</v>
      </c>
      <c r="M1472" s="13">
        <v>347</v>
      </c>
      <c r="N1472" s="13">
        <v>1</v>
      </c>
      <c r="O1472" s="15"/>
      <c r="P1472" s="6">
        <v>42013.732511574075</v>
      </c>
      <c r="Q1472" s="12"/>
      <c r="R1472" s="17" t="s">
        <v>5034</v>
      </c>
      <c r="S1472" s="12"/>
      <c r="T1472" s="12"/>
      <c r="U1472" s="10" t="str">
        <f>HYPERLINK("https://pbs.twimg.com/profile_images/922128070726881281/xPIRDRCq.jpg","View")</f>
        <v>View</v>
      </c>
    </row>
    <row r="1473" spans="1:21" ht="30.6">
      <c r="A1473" s="6">
        <v>43437.678796296299</v>
      </c>
      <c r="B1473" s="7" t="str">
        <f>HYPERLINK("https://twitter.com/YoSoyXerecista","@YoSoyXerecista")</f>
        <v>@YoSoyXerecista</v>
      </c>
      <c r="C1473" s="8" t="s">
        <v>5035</v>
      </c>
      <c r="D1473" s="9" t="s">
        <v>5036</v>
      </c>
      <c r="E1473" s="10" t="str">
        <f>HYPERLINK("https://twitter.com/YoSoyXerecista/status/1069611583704317957","1069611583704317957")</f>
        <v>1069611583704317957</v>
      </c>
      <c r="F1473" s="11" t="s">
        <v>5037</v>
      </c>
      <c r="G1473" s="12"/>
      <c r="H1473" s="12"/>
      <c r="I1473" s="13">
        <v>0</v>
      </c>
      <c r="J1473" s="13">
        <v>1</v>
      </c>
      <c r="K1473" s="14" t="str">
        <f>HYPERLINK("http://twitter.com","Twitter Web Client")</f>
        <v>Twitter Web Client</v>
      </c>
      <c r="L1473" s="13">
        <v>315</v>
      </c>
      <c r="M1473" s="13">
        <v>508</v>
      </c>
      <c r="N1473" s="13">
        <v>1</v>
      </c>
      <c r="O1473" s="15"/>
      <c r="P1473" s="6">
        <v>41907.711504629631</v>
      </c>
      <c r="Q1473" s="16" t="s">
        <v>5038</v>
      </c>
      <c r="R1473" s="17" t="s">
        <v>5039</v>
      </c>
      <c r="S1473" s="11" t="s">
        <v>5040</v>
      </c>
      <c r="T1473" s="12"/>
      <c r="U1473" s="10" t="str">
        <f>HYPERLINK("https://pbs.twimg.com/profile_images/752195645616840704/C3uLbOHG.jpg","View")</f>
        <v>View</v>
      </c>
    </row>
    <row r="1474" spans="1:21" ht="40.799999999999997">
      <c r="A1474" s="6">
        <v>43437.677673611106</v>
      </c>
      <c r="B1474" s="7" t="str">
        <f>HYPERLINK("https://twitter.com/inmapatonmas","@inmapatonmas")</f>
        <v>@inmapatonmas</v>
      </c>
      <c r="C1474" s="8" t="s">
        <v>5031</v>
      </c>
      <c r="D1474" s="9" t="s">
        <v>5032</v>
      </c>
      <c r="E1474" s="10" t="str">
        <f>HYPERLINK("https://twitter.com/inmapatonmas/status/1069611176005378049","1069611176005378049")</f>
        <v>1069611176005378049</v>
      </c>
      <c r="F1474" s="12"/>
      <c r="G1474" s="12"/>
      <c r="H1474" s="12"/>
      <c r="I1474" s="13">
        <v>0</v>
      </c>
      <c r="J1474" s="13">
        <v>0</v>
      </c>
      <c r="K1474" s="14" t="str">
        <f>HYPERLINK("http://twitter.com/download/android","Twitter for Android")</f>
        <v>Twitter for Android</v>
      </c>
      <c r="L1474" s="13">
        <v>130</v>
      </c>
      <c r="M1474" s="13">
        <v>347</v>
      </c>
      <c r="N1474" s="13">
        <v>1</v>
      </c>
      <c r="O1474" s="15"/>
      <c r="P1474" s="6">
        <v>42013.732511574075</v>
      </c>
      <c r="Q1474" s="12"/>
      <c r="R1474" s="17" t="s">
        <v>5034</v>
      </c>
      <c r="S1474" s="12"/>
      <c r="T1474" s="12"/>
      <c r="U1474" s="10" t="str">
        <f>HYPERLINK("https://pbs.twimg.com/profile_images/922128070726881281/xPIRDRCq.jpg","View")</f>
        <v>View</v>
      </c>
    </row>
    <row r="1475" spans="1:21" ht="71.400000000000006">
      <c r="A1475" s="6">
        <v>43437.676481481481</v>
      </c>
      <c r="B1475" s="7" t="str">
        <f>HYPERLINK("https://twitter.com/lbassets","@lbassets")</f>
        <v>@lbassets</v>
      </c>
      <c r="C1475" s="8" t="s">
        <v>5041</v>
      </c>
      <c r="D1475" s="9" t="s">
        <v>5042</v>
      </c>
      <c r="E1475" s="10" t="str">
        <f>HYPERLINK("https://twitter.com/lbassets/status/1069610743216173056","1069610743216173056")</f>
        <v>1069610743216173056</v>
      </c>
      <c r="F1475" s="16" t="s">
        <v>5043</v>
      </c>
      <c r="G1475" s="12"/>
      <c r="H1475" s="12"/>
      <c r="I1475" s="13">
        <v>14</v>
      </c>
      <c r="J1475" s="13">
        <v>16</v>
      </c>
      <c r="K1475" s="14" t="str">
        <f>HYPERLINK("http://twitter.com/download/iphone","Twitter for iPhone")</f>
        <v>Twitter for iPhone</v>
      </c>
      <c r="L1475" s="13">
        <v>19132</v>
      </c>
      <c r="M1475" s="13">
        <v>1090</v>
      </c>
      <c r="N1475" s="13">
        <v>789</v>
      </c>
      <c r="O1475" s="19" t="s">
        <v>44</v>
      </c>
      <c r="P1475" s="6">
        <v>39821.770532407405</v>
      </c>
      <c r="Q1475" s="16" t="s">
        <v>1455</v>
      </c>
      <c r="R1475" s="17" t="s">
        <v>5044</v>
      </c>
      <c r="S1475" s="11" t="s">
        <v>5045</v>
      </c>
      <c r="T1475" s="12"/>
      <c r="U1475" s="10" t="str">
        <f>HYPERLINK("https://pbs.twimg.com/profile_images/378800000537737671/da166c5a35fc542723ae1c873a6dce9d.jpeg","View")</f>
        <v>View</v>
      </c>
    </row>
    <row r="1476" spans="1:21" ht="30.6">
      <c r="A1476" s="6">
        <v>43437.675451388888</v>
      </c>
      <c r="B1476" s="7" t="str">
        <f>HYPERLINK("https://twitter.com/ldtv","@ldtv")</f>
        <v>@ldtv</v>
      </c>
      <c r="C1476" s="8" t="s">
        <v>5046</v>
      </c>
      <c r="D1476" s="9" t="s">
        <v>1526</v>
      </c>
      <c r="E1476" s="10" t="str">
        <f>HYPERLINK("https://twitter.com/ldtv/status/1069610371982462979","1069610371982462979")</f>
        <v>1069610371982462979</v>
      </c>
      <c r="F1476" s="11" t="s">
        <v>4484</v>
      </c>
      <c r="G1476" s="12"/>
      <c r="H1476" s="12"/>
      <c r="I1476" s="13">
        <v>1</v>
      </c>
      <c r="J1476" s="13">
        <v>4</v>
      </c>
      <c r="K1476" s="14" t="str">
        <f>HYPERLINK("http://www.facebook.com/twitter","Facebook")</f>
        <v>Facebook</v>
      </c>
      <c r="L1476" s="13">
        <v>26773</v>
      </c>
      <c r="M1476" s="13">
        <v>49</v>
      </c>
      <c r="N1476" s="13">
        <v>535</v>
      </c>
      <c r="O1476" s="15"/>
      <c r="P1476" s="6">
        <v>39488.167442129634</v>
      </c>
      <c r="Q1476" s="16" t="s">
        <v>86</v>
      </c>
      <c r="R1476" s="17" t="s">
        <v>5047</v>
      </c>
      <c r="S1476" s="11" t="s">
        <v>5048</v>
      </c>
      <c r="T1476" s="12"/>
      <c r="U1476" s="10" t="str">
        <f>HYPERLINK("https://pbs.twimg.com/profile_images/453930376142938112/EZlCzCGM.jpeg","View")</f>
        <v>View</v>
      </c>
    </row>
    <row r="1477" spans="1:21" ht="51">
      <c r="A1477" s="6">
        <v>43437.674375000002</v>
      </c>
      <c r="B1477" s="7" t="str">
        <f>HYPERLINK("https://twitter.com/seluded_martin","@seluded_martin")</f>
        <v>@seluded_martin</v>
      </c>
      <c r="C1477" s="8" t="s">
        <v>4902</v>
      </c>
      <c r="D1477" s="9" t="s">
        <v>4903</v>
      </c>
      <c r="E1477" s="10" t="str">
        <f>HYPERLINK("https://twitter.com/seluded_martin/status/1069609981647949824","1069609981647949824")</f>
        <v>1069609981647949824</v>
      </c>
      <c r="F1477" s="12"/>
      <c r="G1477" s="11" t="s">
        <v>4904</v>
      </c>
      <c r="H1477" s="12"/>
      <c r="I1477" s="13">
        <v>2</v>
      </c>
      <c r="J1477" s="13">
        <v>4</v>
      </c>
      <c r="K1477" s="14" t="str">
        <f>HYPERLINK("http://twitter.com/download/iphone","Twitter for iPhone")</f>
        <v>Twitter for iPhone</v>
      </c>
      <c r="L1477" s="13">
        <v>1251</v>
      </c>
      <c r="M1477" s="13">
        <v>946</v>
      </c>
      <c r="N1477" s="13">
        <v>24</v>
      </c>
      <c r="O1477" s="15"/>
      <c r="P1477" s="6">
        <v>42120.500844907408</v>
      </c>
      <c r="Q1477" s="16" t="s">
        <v>4905</v>
      </c>
      <c r="R1477" s="17" t="s">
        <v>4906</v>
      </c>
      <c r="S1477" s="12"/>
      <c r="T1477" s="12"/>
      <c r="U1477" s="10" t="str">
        <f>HYPERLINK("https://pbs.twimg.com/profile_images/907182028654878720/LDvab0j9.jpg","View")</f>
        <v>View</v>
      </c>
    </row>
    <row r="1478" spans="1:21" ht="20.399999999999999">
      <c r="A1478" s="6">
        <v>43437.66978009259</v>
      </c>
      <c r="B1478" s="7" t="str">
        <f>HYPERLINK("https://twitter.com/titulares24hora","@titulares24hora")</f>
        <v>@titulares24hora</v>
      </c>
      <c r="C1478" s="8" t="s">
        <v>352</v>
      </c>
      <c r="D1478" s="9" t="s">
        <v>5049</v>
      </c>
      <c r="E1478" s="10" t="str">
        <f>HYPERLINK("https://twitter.com/titulares24hora/status/1069608313854275585","1069608313854275585")</f>
        <v>1069608313854275585</v>
      </c>
      <c r="F1478" s="12"/>
      <c r="G1478" s="12"/>
      <c r="H1478" s="12"/>
      <c r="I1478" s="13">
        <v>0</v>
      </c>
      <c r="J1478" s="13">
        <v>0</v>
      </c>
      <c r="K1478" s="14" t="str">
        <f t="shared" ref="K1478:K1479" si="261">HYPERLINK("https://ifttt.com","IFTTT")</f>
        <v>IFTTT</v>
      </c>
      <c r="L1478" s="13">
        <v>394</v>
      </c>
      <c r="M1478" s="13">
        <v>1462</v>
      </c>
      <c r="N1478" s="13">
        <v>2</v>
      </c>
      <c r="O1478" s="15"/>
      <c r="P1478" s="6">
        <v>42508.446805555555</v>
      </c>
      <c r="Q1478" s="12"/>
      <c r="R1478" s="17" t="s">
        <v>355</v>
      </c>
      <c r="S1478" s="12"/>
      <c r="T1478" s="12"/>
      <c r="U1478" s="10" t="str">
        <f>HYPERLINK("https://pbs.twimg.com/profile_images/732855169034166272/A8O2LY2J.jpg","View")</f>
        <v>View</v>
      </c>
    </row>
    <row r="1479" spans="1:21" ht="20.399999999999999">
      <c r="A1479" s="6">
        <v>43437.669178240743</v>
      </c>
      <c r="B1479" s="7" t="str">
        <f>HYPERLINK("https://twitter.com/adelacafe93","@adelacafe93")</f>
        <v>@adelacafe93</v>
      </c>
      <c r="C1479" s="8" t="s">
        <v>322</v>
      </c>
      <c r="D1479" s="9" t="s">
        <v>5049</v>
      </c>
      <c r="E1479" s="10" t="str">
        <f>HYPERLINK("https://twitter.com/adelacafe93/status/1069608097700868102","1069608097700868102")</f>
        <v>1069608097700868102</v>
      </c>
      <c r="F1479" s="11" t="s">
        <v>5050</v>
      </c>
      <c r="G1479" s="12"/>
      <c r="H1479" s="12"/>
      <c r="I1479" s="13">
        <v>0</v>
      </c>
      <c r="J1479" s="13">
        <v>0</v>
      </c>
      <c r="K1479" s="14" t="str">
        <f t="shared" si="261"/>
        <v>IFTTT</v>
      </c>
      <c r="L1479" s="13">
        <v>18</v>
      </c>
      <c r="M1479" s="13">
        <v>47</v>
      </c>
      <c r="N1479" s="13">
        <v>0</v>
      </c>
      <c r="O1479" s="15"/>
      <c r="P1479" s="6">
        <v>42761.615034722221</v>
      </c>
      <c r="Q1479" s="16" t="s">
        <v>326</v>
      </c>
      <c r="R1479" s="17" t="s">
        <v>327</v>
      </c>
      <c r="S1479" s="12"/>
      <c r="T1479" s="12"/>
      <c r="U1479" s="10" t="str">
        <f>HYPERLINK("https://pbs.twimg.com/profile_images/824614694078013444/fkDV_Y0Z.jpg","View")</f>
        <v>View</v>
      </c>
    </row>
    <row r="1480" spans="1:21" ht="40.799999999999997">
      <c r="A1480" s="6">
        <v>43437.665092592593</v>
      </c>
      <c r="B1480" s="7" t="str">
        <f>HYPERLINK("https://twitter.com/ElMundoEspana","@ElMundoEspana")</f>
        <v>@ElMundoEspana</v>
      </c>
      <c r="C1480" s="8" t="s">
        <v>360</v>
      </c>
      <c r="D1480" s="9" t="s">
        <v>5049</v>
      </c>
      <c r="E1480" s="10" t="str">
        <f>HYPERLINK("https://twitter.com/ElMundoEspana/status/1069606618625712131","1069606618625712131")</f>
        <v>1069606618625712131</v>
      </c>
      <c r="F1480" s="11" t="s">
        <v>4093</v>
      </c>
      <c r="G1480" s="12"/>
      <c r="H1480" s="12"/>
      <c r="I1480" s="13">
        <v>0</v>
      </c>
      <c r="J1480" s="13">
        <v>2</v>
      </c>
      <c r="K1480" s="14" t="str">
        <f>HYPERLINK("http://twitter.com","Twitter Web Client")</f>
        <v>Twitter Web Client</v>
      </c>
      <c r="L1480" s="13">
        <v>18045</v>
      </c>
      <c r="M1480" s="13">
        <v>652</v>
      </c>
      <c r="N1480" s="13">
        <v>353</v>
      </c>
      <c r="O1480" s="19" t="s">
        <v>44</v>
      </c>
      <c r="P1480" s="6">
        <v>42089.415439814809</v>
      </c>
      <c r="Q1480" s="12"/>
      <c r="R1480" s="17" t="s">
        <v>362</v>
      </c>
      <c r="S1480" s="11" t="s">
        <v>363</v>
      </c>
      <c r="T1480" s="12"/>
      <c r="U1480" s="10" t="str">
        <f>HYPERLINK("https://pbs.twimg.com/profile_images/780431237555032064/H6v83dkC.jpg","View")</f>
        <v>View</v>
      </c>
    </row>
    <row r="1481" spans="1:21" ht="30.6">
      <c r="A1481" s="6">
        <v>43437.66469907407</v>
      </c>
      <c r="B1481" s="7" t="str">
        <f>HYPERLINK("https://twitter.com/saitoel","@saitoel")</f>
        <v>@saitoel</v>
      </c>
      <c r="C1481" s="8" t="s">
        <v>5054</v>
      </c>
      <c r="D1481" s="9" t="s">
        <v>5055</v>
      </c>
      <c r="E1481" s="10" t="str">
        <f>HYPERLINK("https://twitter.com/saitoel/status/1069606473519587329","1069606473519587329")</f>
        <v>1069606473519587329</v>
      </c>
      <c r="F1481" s="12"/>
      <c r="G1481" s="11" t="s">
        <v>5056</v>
      </c>
      <c r="H1481" s="12"/>
      <c r="I1481" s="13">
        <v>3</v>
      </c>
      <c r="J1481" s="13">
        <v>6</v>
      </c>
      <c r="K1481" s="14" t="str">
        <f t="shared" ref="K1481:K1482" si="262">HYPERLINK("http://twitter.com/download/android","Twitter for Android")</f>
        <v>Twitter for Android</v>
      </c>
      <c r="L1481" s="13">
        <v>3024</v>
      </c>
      <c r="M1481" s="13">
        <v>518</v>
      </c>
      <c r="N1481" s="13">
        <v>93</v>
      </c>
      <c r="O1481" s="15"/>
      <c r="P1481" s="6">
        <v>40051.532638888893</v>
      </c>
      <c r="Q1481" s="16" t="s">
        <v>5057</v>
      </c>
      <c r="R1481" s="17" t="s">
        <v>5058</v>
      </c>
      <c r="S1481" s="12"/>
      <c r="T1481" s="12"/>
      <c r="U1481" s="10" t="str">
        <f>HYPERLINK("https://pbs.twimg.com/profile_images/903386133249261568/F1DFwg-V.jpg","View")</f>
        <v>View</v>
      </c>
    </row>
    <row r="1482" spans="1:21" ht="30.6">
      <c r="A1482" s="6">
        <v>43437.663958333331</v>
      </c>
      <c r="B1482" s="7" t="str">
        <f>HYPERLINK("https://twitter.com/elisapv64","@elisapv64")</f>
        <v>@elisapv64</v>
      </c>
      <c r="C1482" s="8" t="s">
        <v>5059</v>
      </c>
      <c r="D1482" s="9" t="s">
        <v>5060</v>
      </c>
      <c r="E1482" s="10" t="str">
        <f>HYPERLINK("https://twitter.com/elisapv64/status/1069606204933136384","1069606204933136384")</f>
        <v>1069606204933136384</v>
      </c>
      <c r="F1482" s="11" t="s">
        <v>3195</v>
      </c>
      <c r="G1482" s="12"/>
      <c r="H1482" s="12"/>
      <c r="I1482" s="13">
        <v>4</v>
      </c>
      <c r="J1482" s="13">
        <v>12</v>
      </c>
      <c r="K1482" s="14" t="str">
        <f t="shared" si="262"/>
        <v>Twitter for Android</v>
      </c>
      <c r="L1482" s="13">
        <v>2413</v>
      </c>
      <c r="M1482" s="13">
        <v>2246</v>
      </c>
      <c r="N1482" s="13">
        <v>42</v>
      </c>
      <c r="O1482" s="15"/>
      <c r="P1482" s="6">
        <v>41435.614745370374</v>
      </c>
      <c r="Q1482" s="16" t="s">
        <v>5061</v>
      </c>
      <c r="R1482" s="17" t="s">
        <v>5062</v>
      </c>
      <c r="S1482" s="12"/>
      <c r="T1482" s="12"/>
      <c r="U1482" s="10" t="str">
        <f>HYPERLINK("https://pbs.twimg.com/profile_images/1000770485263716353/VlVrvSII.jpg","View")</f>
        <v>View</v>
      </c>
    </row>
    <row r="1483" spans="1:21" ht="40.799999999999997">
      <c r="A1483" s="6">
        <v>43437.663252314815</v>
      </c>
      <c r="B1483" s="7" t="str">
        <f>HYPERLINK("https://twitter.com/lextresabogados","@lextresabogados")</f>
        <v>@lextresabogados</v>
      </c>
      <c r="C1483" s="8" t="s">
        <v>1379</v>
      </c>
      <c r="D1483" s="9" t="s">
        <v>5063</v>
      </c>
      <c r="E1483" s="10" t="str">
        <f>HYPERLINK("https://twitter.com/lextresabogados/status/1069605950011727872","1069605950011727872")</f>
        <v>1069605950011727872</v>
      </c>
      <c r="F1483" s="11" t="s">
        <v>5064</v>
      </c>
      <c r="G1483" s="12"/>
      <c r="H1483" s="12"/>
      <c r="I1483" s="13">
        <v>0</v>
      </c>
      <c r="J1483" s="13">
        <v>0</v>
      </c>
      <c r="K1483" s="14" t="str">
        <f>HYPERLINK("http://35.180.36.179","botize nueva")</f>
        <v>botize nueva</v>
      </c>
      <c r="L1483" s="13">
        <v>2912</v>
      </c>
      <c r="M1483" s="13">
        <v>3525</v>
      </c>
      <c r="N1483" s="13">
        <v>26</v>
      </c>
      <c r="O1483" s="15"/>
      <c r="P1483" s="6">
        <v>42880.770949074074</v>
      </c>
      <c r="Q1483" s="16" t="s">
        <v>1130</v>
      </c>
      <c r="R1483" s="17" t="s">
        <v>1383</v>
      </c>
      <c r="S1483" s="11" t="s">
        <v>1384</v>
      </c>
      <c r="T1483" s="12"/>
      <c r="U1483" s="10" t="str">
        <f>HYPERLINK("https://pbs.twimg.com/profile_images/1068056978679898113/YnjKwiVy.jpg","View")</f>
        <v>View</v>
      </c>
    </row>
    <row r="1484" spans="1:21" ht="51">
      <c r="A1484" s="6">
        <v>43437.661932870367</v>
      </c>
      <c r="B1484" s="7" t="str">
        <f>HYPERLINK("https://twitter.com/arsenio_coto","@arsenio_coto")</f>
        <v>@arsenio_coto</v>
      </c>
      <c r="C1484" s="8" t="s">
        <v>5065</v>
      </c>
      <c r="D1484" s="9" t="s">
        <v>5066</v>
      </c>
      <c r="E1484" s="10" t="str">
        <f>HYPERLINK("https://twitter.com/arsenio_coto/status/1069605471462539265","1069605471462539265")</f>
        <v>1069605471462539265</v>
      </c>
      <c r="F1484" s="12"/>
      <c r="G1484" s="12"/>
      <c r="H1484" s="12"/>
      <c r="I1484" s="13">
        <v>0</v>
      </c>
      <c r="J1484" s="13">
        <v>0</v>
      </c>
      <c r="K1484" s="14" t="str">
        <f>HYPERLINK("http://twitter.com/download/android","Twitter for Android")</f>
        <v>Twitter for Android</v>
      </c>
      <c r="L1484" s="13">
        <v>294</v>
      </c>
      <c r="M1484" s="13">
        <v>97</v>
      </c>
      <c r="N1484" s="13">
        <v>4</v>
      </c>
      <c r="O1484" s="15"/>
      <c r="P1484" s="6">
        <v>41966.855057870373</v>
      </c>
      <c r="Q1484" s="12"/>
      <c r="R1484" s="17" t="s">
        <v>5067</v>
      </c>
      <c r="S1484" s="12"/>
      <c r="T1484" s="12"/>
      <c r="U1484" s="10" t="str">
        <f>HYPERLINK("https://pbs.twimg.com/profile_images/545256184442146816/RluN2Ecn.jpeg","View")</f>
        <v>View</v>
      </c>
    </row>
    <row r="1485" spans="1:21" ht="51">
      <c r="A1485" s="6">
        <v>43437.654178240744</v>
      </c>
      <c r="B1485" s="7" t="str">
        <f>HYPERLINK("https://twitter.com/JuanRaBethencou","@JuanRaBethencou")</f>
        <v>@JuanRaBethencou</v>
      </c>
      <c r="C1485" s="8" t="s">
        <v>5068</v>
      </c>
      <c r="D1485" s="9" t="s">
        <v>5069</v>
      </c>
      <c r="E1485" s="10" t="str">
        <f>HYPERLINK("https://twitter.com/JuanRaBethencou/status/1069602659877949440","1069602659877949440")</f>
        <v>1069602659877949440</v>
      </c>
      <c r="F1485" s="12"/>
      <c r="G1485" s="12"/>
      <c r="H1485" s="12"/>
      <c r="I1485" s="13">
        <v>0</v>
      </c>
      <c r="J1485" s="13">
        <v>1</v>
      </c>
      <c r="K1485" s="14" t="str">
        <f t="shared" ref="K1485:K1489" si="263">HYPERLINK("http://twitter.com","Twitter Web Client")</f>
        <v>Twitter Web Client</v>
      </c>
      <c r="L1485" s="13">
        <v>473</v>
      </c>
      <c r="M1485" s="13">
        <v>1579</v>
      </c>
      <c r="N1485" s="13">
        <v>3</v>
      </c>
      <c r="O1485" s="15"/>
      <c r="P1485" s="6">
        <v>40476.037233796298</v>
      </c>
      <c r="Q1485" s="16" t="s">
        <v>325</v>
      </c>
      <c r="R1485" s="17" t="s">
        <v>5070</v>
      </c>
      <c r="S1485" s="12"/>
      <c r="T1485" s="12"/>
      <c r="U1485" s="10" t="str">
        <f>HYPERLINK("https://pbs.twimg.com/profile_images/1185138173/corbata1.jpg","View")</f>
        <v>View</v>
      </c>
    </row>
    <row r="1486" spans="1:21" ht="40.799999999999997">
      <c r="A1486" s="6">
        <v>43437.653749999998</v>
      </c>
      <c r="B1486" s="7" t="str">
        <f>HYPERLINK("https://twitter.com/caval100","@caval100")</f>
        <v>@caval100</v>
      </c>
      <c r="C1486" s="8" t="s">
        <v>72</v>
      </c>
      <c r="D1486" s="9" t="s">
        <v>3728</v>
      </c>
      <c r="E1486" s="10" t="str">
        <f>HYPERLINK("https://twitter.com/caval100/status/1069602508161601542","1069602508161601542")</f>
        <v>1069602508161601542</v>
      </c>
      <c r="F1486" s="11" t="s">
        <v>3729</v>
      </c>
      <c r="G1486" s="12"/>
      <c r="H1486" s="12"/>
      <c r="I1486" s="13">
        <v>0</v>
      </c>
      <c r="J1486" s="13">
        <v>1</v>
      </c>
      <c r="K1486" s="14" t="str">
        <f t="shared" si="263"/>
        <v>Twitter Web Client</v>
      </c>
      <c r="L1486" s="13">
        <v>119343</v>
      </c>
      <c r="M1486" s="13">
        <v>94000</v>
      </c>
      <c r="N1486" s="13">
        <v>982</v>
      </c>
      <c r="O1486" s="15"/>
      <c r="P1486" s="6">
        <v>40079.437094907407</v>
      </c>
      <c r="Q1486" s="16" t="s">
        <v>75</v>
      </c>
      <c r="R1486" s="17" t="s">
        <v>76</v>
      </c>
      <c r="S1486" s="11" t="s">
        <v>77</v>
      </c>
      <c r="T1486" s="12"/>
      <c r="U1486" s="10" t="str">
        <f>HYPERLINK("https://pbs.twimg.com/profile_images/965350678301429760/uvGI7g8U.jpg","View")</f>
        <v>View</v>
      </c>
    </row>
    <row r="1487" spans="1:21" ht="51">
      <c r="A1487" s="6">
        <v>43437.653298611112</v>
      </c>
      <c r="B1487" s="7" t="str">
        <f>HYPERLINK("https://twitter.com/Joffeca","@Joffeca")</f>
        <v>@Joffeca</v>
      </c>
      <c r="C1487" s="8" t="s">
        <v>5071</v>
      </c>
      <c r="D1487" s="9" t="s">
        <v>5072</v>
      </c>
      <c r="E1487" s="10" t="str">
        <f>HYPERLINK("https://twitter.com/Joffeca/status/1069602341970694144","1069602341970694144")</f>
        <v>1069602341970694144</v>
      </c>
      <c r="F1487" s="12"/>
      <c r="G1487" s="12"/>
      <c r="H1487" s="12"/>
      <c r="I1487" s="13">
        <v>0</v>
      </c>
      <c r="J1487" s="13">
        <v>0</v>
      </c>
      <c r="K1487" s="14" t="str">
        <f t="shared" si="263"/>
        <v>Twitter Web Client</v>
      </c>
      <c r="L1487" s="13">
        <v>969</v>
      </c>
      <c r="M1487" s="13">
        <v>823</v>
      </c>
      <c r="N1487" s="13">
        <v>10</v>
      </c>
      <c r="O1487" s="15"/>
      <c r="P1487" s="6">
        <v>41306.745046296295</v>
      </c>
      <c r="Q1487" s="16" t="s">
        <v>5073</v>
      </c>
      <c r="R1487" s="17" t="s">
        <v>5074</v>
      </c>
      <c r="S1487" s="12"/>
      <c r="T1487" s="12"/>
      <c r="U1487" s="10" t="str">
        <f>HYPERLINK("https://pbs.twimg.com/profile_images/814148167205785600/1kRzUxxW.jpg","View")</f>
        <v>View</v>
      </c>
    </row>
    <row r="1488" spans="1:21" ht="51">
      <c r="A1488" s="6">
        <v>43437.653263888889</v>
      </c>
      <c r="B1488" s="7" t="str">
        <f>HYPERLINK("https://twitter.com/caval100","@caval100")</f>
        <v>@caval100</v>
      </c>
      <c r="C1488" s="8" t="s">
        <v>72</v>
      </c>
      <c r="D1488" s="9" t="s">
        <v>3799</v>
      </c>
      <c r="E1488" s="10" t="str">
        <f>HYPERLINK("https://twitter.com/caval100/status/1069602329773727744","1069602329773727744")</f>
        <v>1069602329773727744</v>
      </c>
      <c r="F1488" s="11" t="s">
        <v>3729</v>
      </c>
      <c r="G1488" s="12"/>
      <c r="H1488" s="12"/>
      <c r="I1488" s="13">
        <v>1</v>
      </c>
      <c r="J1488" s="13">
        <v>1</v>
      </c>
      <c r="K1488" s="14" t="str">
        <f t="shared" si="263"/>
        <v>Twitter Web Client</v>
      </c>
      <c r="L1488" s="13">
        <v>119343</v>
      </c>
      <c r="M1488" s="13">
        <v>94000</v>
      </c>
      <c r="N1488" s="13">
        <v>982</v>
      </c>
      <c r="O1488" s="15"/>
      <c r="P1488" s="6">
        <v>40079.437094907407</v>
      </c>
      <c r="Q1488" s="16" t="s">
        <v>75</v>
      </c>
      <c r="R1488" s="17" t="s">
        <v>76</v>
      </c>
      <c r="S1488" s="11" t="s">
        <v>77</v>
      </c>
      <c r="T1488" s="12"/>
      <c r="U1488" s="10" t="str">
        <f>HYPERLINK("https://pbs.twimg.com/profile_images/965350678301429760/uvGI7g8U.jpg","View")</f>
        <v>View</v>
      </c>
    </row>
    <row r="1489" spans="1:21" ht="20.399999999999999">
      <c r="A1489" s="6">
        <v>43437.648738425924</v>
      </c>
      <c r="B1489" s="7" t="str">
        <f>HYPERLINK("https://twitter.com/Mercuri62711635","@Mercuri62711635")</f>
        <v>@Mercuri62711635</v>
      </c>
      <c r="C1489" s="8" t="s">
        <v>5075</v>
      </c>
      <c r="D1489" s="9" t="s">
        <v>5076</v>
      </c>
      <c r="E1489" s="10" t="str">
        <f>HYPERLINK("https://twitter.com/Mercuri62711635/status/1069600690316746752","1069600690316746752")</f>
        <v>1069600690316746752</v>
      </c>
      <c r="F1489" s="11" t="s">
        <v>5077</v>
      </c>
      <c r="G1489" s="12"/>
      <c r="H1489" s="12"/>
      <c r="I1489" s="13">
        <v>0</v>
      </c>
      <c r="J1489" s="13">
        <v>0</v>
      </c>
      <c r="K1489" s="14" t="str">
        <f t="shared" si="263"/>
        <v>Twitter Web Client</v>
      </c>
      <c r="L1489" s="13">
        <v>192</v>
      </c>
      <c r="M1489" s="13">
        <v>268</v>
      </c>
      <c r="N1489" s="13">
        <v>1</v>
      </c>
      <c r="O1489" s="15"/>
      <c r="P1489" s="6">
        <v>43060.015081018515</v>
      </c>
      <c r="Q1489" s="16" t="s">
        <v>1455</v>
      </c>
      <c r="R1489" s="17" t="s">
        <v>5078</v>
      </c>
      <c r="S1489" s="12"/>
      <c r="T1489" s="12"/>
      <c r="U1489" s="10" t="str">
        <f>HYPERLINK("https://pbs.twimg.com/profile_images/956695464845434880/m1JqyTDk.jpg","View")</f>
        <v>View</v>
      </c>
    </row>
    <row r="1490" spans="1:21" ht="20.399999999999999">
      <c r="A1490" s="6">
        <v>43437.645798611113</v>
      </c>
      <c r="B1490" s="7" t="str">
        <f>HYPERLINK("https://twitter.com/Monodrops","@Monodrops")</f>
        <v>@Monodrops</v>
      </c>
      <c r="C1490" s="8" t="s">
        <v>5079</v>
      </c>
      <c r="D1490" s="9" t="s">
        <v>5080</v>
      </c>
      <c r="E1490" s="10" t="str">
        <f>HYPERLINK("https://twitter.com/Monodrops/status/1069599624489508865","1069599624489508865")</f>
        <v>1069599624489508865</v>
      </c>
      <c r="F1490" s="11" t="s">
        <v>5081</v>
      </c>
      <c r="G1490" s="12"/>
      <c r="H1490" s="12"/>
      <c r="I1490" s="13">
        <v>0</v>
      </c>
      <c r="J1490" s="13">
        <v>0</v>
      </c>
      <c r="K1490" s="14" t="str">
        <f>HYPERLINK("http://twitter.com/download/iphone","Twitter for iPhone")</f>
        <v>Twitter for iPhone</v>
      </c>
      <c r="L1490" s="13">
        <v>417</v>
      </c>
      <c r="M1490" s="13">
        <v>589</v>
      </c>
      <c r="N1490" s="13">
        <v>8</v>
      </c>
      <c r="O1490" s="15"/>
      <c r="P1490" s="6">
        <v>41148.758113425924</v>
      </c>
      <c r="Q1490" s="16" t="s">
        <v>5082</v>
      </c>
      <c r="R1490" s="17" t="s">
        <v>5083</v>
      </c>
      <c r="S1490" s="12"/>
      <c r="T1490" s="12"/>
      <c r="U1490" s="10" t="str">
        <f>HYPERLINK("https://pbs.twimg.com/profile_images/2945645500/e7eb2a3b49f7d837c2233faee4b6b88d.jpeg","View")</f>
        <v>View</v>
      </c>
    </row>
    <row r="1491" spans="1:21" ht="61.2">
      <c r="A1491" s="6">
        <v>43437.642500000002</v>
      </c>
      <c r="B1491" s="7" t="str">
        <f>HYPERLINK("https://twitter.com/Daria_Mo","@Daria_Mo")</f>
        <v>@Daria_Mo</v>
      </c>
      <c r="C1491" s="8" t="s">
        <v>5084</v>
      </c>
      <c r="D1491" s="9" t="s">
        <v>5085</v>
      </c>
      <c r="E1491" s="10" t="str">
        <f>HYPERLINK("https://twitter.com/Daria_Mo/status/1069598428559278080","1069598428559278080")</f>
        <v>1069598428559278080</v>
      </c>
      <c r="F1491" s="16" t="s">
        <v>4119</v>
      </c>
      <c r="G1491" s="11" t="s">
        <v>4120</v>
      </c>
      <c r="H1491" s="12"/>
      <c r="I1491" s="13">
        <v>0</v>
      </c>
      <c r="J1491" s="13">
        <v>4</v>
      </c>
      <c r="K1491" s="14" t="str">
        <f t="shared" ref="K1491:K1492" si="264">HYPERLINK("http://twitter.com/download/android","Twitter for Android")</f>
        <v>Twitter for Android</v>
      </c>
      <c r="L1491" s="13">
        <v>1110</v>
      </c>
      <c r="M1491" s="13">
        <v>1226</v>
      </c>
      <c r="N1491" s="13">
        <v>16</v>
      </c>
      <c r="O1491" s="15"/>
      <c r="P1491" s="6">
        <v>40882.848773148144</v>
      </c>
      <c r="Q1491" s="16" t="s">
        <v>5086</v>
      </c>
      <c r="R1491" s="17" t="s">
        <v>5087</v>
      </c>
      <c r="S1491" s="12"/>
      <c r="T1491" s="12"/>
      <c r="U1491" s="10" t="str">
        <f>HYPERLINK("https://pbs.twimg.com/profile_images/972079995274264576/4ysEXu5o.jpg","View")</f>
        <v>View</v>
      </c>
    </row>
    <row r="1492" spans="1:21" ht="20.399999999999999">
      <c r="A1492" s="6">
        <v>43437.641875000001</v>
      </c>
      <c r="B1492" s="7" t="str">
        <f>HYPERLINK("https://twitter.com/caencomonueces","@caencomonueces")</f>
        <v>@caencomonueces</v>
      </c>
      <c r="C1492" s="8" t="s">
        <v>5088</v>
      </c>
      <c r="D1492" s="9" t="s">
        <v>4761</v>
      </c>
      <c r="E1492" s="10" t="str">
        <f>HYPERLINK("https://twitter.com/caencomonueces/status/1069598201542520832","1069598201542520832")</f>
        <v>1069598201542520832</v>
      </c>
      <c r="F1492" s="11" t="s">
        <v>5089</v>
      </c>
      <c r="G1492" s="12"/>
      <c r="H1492" s="12"/>
      <c r="I1492" s="13">
        <v>0</v>
      </c>
      <c r="J1492" s="13">
        <v>0</v>
      </c>
      <c r="K1492" s="14" t="str">
        <f t="shared" si="264"/>
        <v>Twitter for Android</v>
      </c>
      <c r="L1492" s="13">
        <v>646</v>
      </c>
      <c r="M1492" s="13">
        <v>1185</v>
      </c>
      <c r="N1492" s="13">
        <v>3</v>
      </c>
      <c r="O1492" s="15"/>
      <c r="P1492" s="6">
        <v>41242.801539351851</v>
      </c>
      <c r="Q1492" s="16" t="s">
        <v>86</v>
      </c>
      <c r="R1492" s="17" t="s">
        <v>5090</v>
      </c>
      <c r="S1492" s="12"/>
      <c r="T1492" s="12"/>
      <c r="U1492" s="10" t="str">
        <f>HYPERLINK("https://pbs.twimg.com/profile_images/802542076420378628/S_52YFJA.jpg","View")</f>
        <v>View</v>
      </c>
    </row>
    <row r="1493" spans="1:21" ht="30.6">
      <c r="A1493" s="6">
        <v>43437.637025462958</v>
      </c>
      <c r="B1493" s="7" t="str">
        <f>HYPERLINK("https://twitter.com/LaVanguardia","@LaVanguardia")</f>
        <v>@LaVanguardia</v>
      </c>
      <c r="C1493" s="8" t="s">
        <v>1882</v>
      </c>
      <c r="D1493" s="9" t="s">
        <v>5091</v>
      </c>
      <c r="E1493" s="10" t="str">
        <f>HYPERLINK("https://twitter.com/LaVanguardia/status/1069596447614660609","1069596447614660609")</f>
        <v>1069596447614660609</v>
      </c>
      <c r="F1493" s="11" t="s">
        <v>5064</v>
      </c>
      <c r="G1493" s="12"/>
      <c r="H1493" s="12"/>
      <c r="I1493" s="13">
        <v>2</v>
      </c>
      <c r="J1493" s="13">
        <v>2</v>
      </c>
      <c r="K1493" s="14" t="str">
        <f>HYPERLINK("http://www.lavanguardia.es","App publicación twits DGRID")</f>
        <v>App publicación twits DGRID</v>
      </c>
      <c r="L1493" s="13">
        <v>999502</v>
      </c>
      <c r="M1493" s="13">
        <v>524</v>
      </c>
      <c r="N1493" s="13">
        <v>12585</v>
      </c>
      <c r="O1493" s="19" t="s">
        <v>44</v>
      </c>
      <c r="P1493" s="6">
        <v>40071.664548611108</v>
      </c>
      <c r="Q1493" s="16" t="s">
        <v>1455</v>
      </c>
      <c r="R1493" s="17" t="s">
        <v>1883</v>
      </c>
      <c r="S1493" s="11" t="s">
        <v>1884</v>
      </c>
      <c r="T1493" s="12"/>
      <c r="U1493" s="10" t="str">
        <f>HYPERLINK("https://pbs.twimg.com/profile_images/936873783721320448/6Q97S0pp.jpg","View")</f>
        <v>View</v>
      </c>
    </row>
    <row r="1494" spans="1:21" ht="40.799999999999997">
      <c r="A1494" s="6">
        <v>43437.636828703704</v>
      </c>
      <c r="B1494" s="7" t="str">
        <f>HYPERLINK("https://twitter.com/ikaitor","@ikaitor")</f>
        <v>@ikaitor</v>
      </c>
      <c r="C1494" s="8" t="s">
        <v>1134</v>
      </c>
      <c r="D1494" s="9" t="s">
        <v>5092</v>
      </c>
      <c r="E1494" s="10" t="str">
        <f>HYPERLINK("https://twitter.com/ikaitor/status/1069596372796653568","1069596372796653568")</f>
        <v>1069596372796653568</v>
      </c>
      <c r="F1494" s="12"/>
      <c r="G1494" s="12"/>
      <c r="H1494" s="12"/>
      <c r="I1494" s="13">
        <v>237</v>
      </c>
      <c r="J1494" s="13">
        <v>277</v>
      </c>
      <c r="K1494" s="14" t="str">
        <f>HYPERLINK("http://twitter.com","Twitter Web Client")</f>
        <v>Twitter Web Client</v>
      </c>
      <c r="L1494" s="13">
        <v>17212</v>
      </c>
      <c r="M1494" s="13">
        <v>1142</v>
      </c>
      <c r="N1494" s="13">
        <v>624</v>
      </c>
      <c r="O1494" s="15"/>
      <c r="P1494" s="6">
        <v>39813.739421296297</v>
      </c>
      <c r="Q1494" s="16" t="s">
        <v>191</v>
      </c>
      <c r="R1494" s="17" t="s">
        <v>1136</v>
      </c>
      <c r="S1494" s="11" t="s">
        <v>1137</v>
      </c>
      <c r="T1494" s="12"/>
      <c r="U1494" s="10" t="str">
        <f>HYPERLINK("https://pbs.twimg.com/profile_images/923654475360997377/_9yNRShJ.jpg","View")</f>
        <v>View</v>
      </c>
    </row>
    <row r="1495" spans="1:21" ht="20.399999999999999">
      <c r="A1495" s="6">
        <v>43437.636377314819</v>
      </c>
      <c r="B1495" s="7" t="str">
        <f>HYPERLINK("https://twitter.com/JessyBrunos","@JessyBrunos")</f>
        <v>@JessyBrunos</v>
      </c>
      <c r="C1495" s="8" t="s">
        <v>1817</v>
      </c>
      <c r="D1495" s="9" t="s">
        <v>5093</v>
      </c>
      <c r="E1495" s="10" t="str">
        <f>HYPERLINK("https://twitter.com/JessyBrunos/status/1069596211882180608","1069596211882180608")</f>
        <v>1069596211882180608</v>
      </c>
      <c r="F1495" s="11" t="s">
        <v>5094</v>
      </c>
      <c r="G1495" s="12"/>
      <c r="H1495" s="12"/>
      <c r="I1495" s="13">
        <v>0</v>
      </c>
      <c r="J1495" s="13">
        <v>0</v>
      </c>
      <c r="K1495" s="14" t="str">
        <f>HYPERLINK("https://ifttt.com","IFTTT")</f>
        <v>IFTTT</v>
      </c>
      <c r="L1495" s="13">
        <v>1292</v>
      </c>
      <c r="M1495" s="13">
        <v>4</v>
      </c>
      <c r="N1495" s="13">
        <v>64</v>
      </c>
      <c r="O1495" s="15"/>
      <c r="P1495" s="6">
        <v>41883.623159722221</v>
      </c>
      <c r="Q1495" s="16" t="s">
        <v>191</v>
      </c>
      <c r="R1495" s="17" t="s">
        <v>1820</v>
      </c>
      <c r="S1495" s="12"/>
      <c r="T1495" s="12"/>
      <c r="U1495" s="10" t="str">
        <f>HYPERLINK("https://pbs.twimg.com/profile_images/506426079444086784/Z_tVo-k9.jpeg","View")</f>
        <v>View</v>
      </c>
    </row>
    <row r="1496" spans="1:21" ht="40.799999999999997">
      <c r="A1496" s="6">
        <v>43437.635833333334</v>
      </c>
      <c r="B1496" s="7" t="str">
        <f>HYPERLINK("https://twitter.com/maequez67","@maequez67")</f>
        <v>@maequez67</v>
      </c>
      <c r="C1496" s="8" t="s">
        <v>5095</v>
      </c>
      <c r="D1496" s="9" t="s">
        <v>5096</v>
      </c>
      <c r="E1496" s="10" t="str">
        <f>HYPERLINK("https://twitter.com/maequez67/status/1069596014628225030","1069596014628225030")</f>
        <v>1069596014628225030</v>
      </c>
      <c r="F1496" s="11" t="s">
        <v>5097</v>
      </c>
      <c r="G1496" s="12"/>
      <c r="H1496" s="12"/>
      <c r="I1496" s="13">
        <v>0</v>
      </c>
      <c r="J1496" s="13">
        <v>0</v>
      </c>
      <c r="K1496" s="14" t="str">
        <f>HYPERLINK("http://twitter.com/download/android","Twitter for Android")</f>
        <v>Twitter for Android</v>
      </c>
      <c r="L1496" s="13">
        <v>832</v>
      </c>
      <c r="M1496" s="13">
        <v>1544</v>
      </c>
      <c r="N1496" s="13">
        <v>21</v>
      </c>
      <c r="O1496" s="15"/>
      <c r="P1496" s="6">
        <v>42159.404027777782</v>
      </c>
      <c r="Q1496" s="16" t="s">
        <v>232</v>
      </c>
      <c r="R1496" s="17" t="s">
        <v>5098</v>
      </c>
      <c r="S1496" s="12"/>
      <c r="T1496" s="12"/>
      <c r="U1496" s="10" t="str">
        <f>HYPERLINK("https://pbs.twimg.com/profile_images/1070967120832446464/Aw0szm5h.jpg","View")</f>
        <v>View</v>
      </c>
    </row>
    <row r="1497" spans="1:21" ht="20.399999999999999">
      <c r="A1497" s="6">
        <v>43437.628032407403</v>
      </c>
      <c r="B1497" s="7" t="str">
        <f>HYPERLINK("https://twitter.com/GaliciaeXornal","@GaliciaeXornal")</f>
        <v>@GaliciaeXornal</v>
      </c>
      <c r="C1497" s="8" t="s">
        <v>5099</v>
      </c>
      <c r="D1497" s="9" t="s">
        <v>5100</v>
      </c>
      <c r="E1497" s="10" t="str">
        <f>HYPERLINK("https://twitter.com/GaliciaeXornal/status/1069593185255661569","1069593185255661569")</f>
        <v>1069593185255661569</v>
      </c>
      <c r="F1497" s="11" t="s">
        <v>5101</v>
      </c>
      <c r="G1497" s="12"/>
      <c r="H1497" s="12"/>
      <c r="I1497" s="13">
        <v>0</v>
      </c>
      <c r="J1497" s="13">
        <v>1</v>
      </c>
      <c r="K1497" s="14" t="str">
        <f t="shared" ref="K1497:K1499" si="265">HYPERLINK("https://about.twitter.com/products/tweetdeck","TweetDeck")</f>
        <v>TweetDeck</v>
      </c>
      <c r="L1497" s="13">
        <v>10316</v>
      </c>
      <c r="M1497" s="13">
        <v>934</v>
      </c>
      <c r="N1497" s="13">
        <v>294</v>
      </c>
      <c r="O1497" s="15"/>
      <c r="P1497" s="6">
        <v>40599.461712962962</v>
      </c>
      <c r="Q1497" s="16" t="s">
        <v>5102</v>
      </c>
      <c r="R1497" s="17" t="s">
        <v>5103</v>
      </c>
      <c r="S1497" s="11" t="s">
        <v>5104</v>
      </c>
      <c r="T1497" s="12"/>
      <c r="U1497" s="10" t="str">
        <f>HYPERLINK("https://pbs.twimg.com/profile_images/573116115498319872/qGQzYHe8.jpeg","View")</f>
        <v>View</v>
      </c>
    </row>
    <row r="1498" spans="1:21" ht="40.799999999999997">
      <c r="A1498" s="6">
        <v>43437.627928240741</v>
      </c>
      <c r="B1498" s="7" t="str">
        <f>HYPERLINK("https://twitter.com/elprogreso_Lugo","@elprogreso_Lugo")</f>
        <v>@elprogreso_Lugo</v>
      </c>
      <c r="C1498" s="8" t="s">
        <v>5106</v>
      </c>
      <c r="D1498" s="9" t="s">
        <v>5100</v>
      </c>
      <c r="E1498" s="10" t="str">
        <f>HYPERLINK("https://twitter.com/elprogreso_Lugo/status/1069593148677066752","1069593148677066752")</f>
        <v>1069593148677066752</v>
      </c>
      <c r="F1498" s="11" t="s">
        <v>5107</v>
      </c>
      <c r="G1498" s="12"/>
      <c r="H1498" s="12"/>
      <c r="I1498" s="13">
        <v>1</v>
      </c>
      <c r="J1498" s="13">
        <v>1</v>
      </c>
      <c r="K1498" s="14" t="str">
        <f t="shared" si="265"/>
        <v>TweetDeck</v>
      </c>
      <c r="L1498" s="13">
        <v>22448</v>
      </c>
      <c r="M1498" s="13">
        <v>224</v>
      </c>
      <c r="N1498" s="13">
        <v>445</v>
      </c>
      <c r="O1498" s="19" t="s">
        <v>44</v>
      </c>
      <c r="P1498" s="6">
        <v>40563.906655092593</v>
      </c>
      <c r="Q1498" s="16" t="s">
        <v>5108</v>
      </c>
      <c r="R1498" s="17" t="s">
        <v>5109</v>
      </c>
      <c r="S1498" s="11" t="s">
        <v>5110</v>
      </c>
      <c r="T1498" s="12"/>
      <c r="U1498" s="10" t="str">
        <f>HYPERLINK("https://pbs.twimg.com/profile_images/875747575235837952/wZ2YgzDC.jpg","View")</f>
        <v>View</v>
      </c>
    </row>
    <row r="1499" spans="1:21" ht="40.799999999999997">
      <c r="A1499" s="6">
        <v>43437.627812499995</v>
      </c>
      <c r="B1499" s="7" t="str">
        <f>HYPERLINK("https://twitter.com/Diario_Pontev","@Diario_Pontev")</f>
        <v>@Diario_Pontev</v>
      </c>
      <c r="C1499" s="8" t="s">
        <v>5111</v>
      </c>
      <c r="D1499" s="9" t="s">
        <v>5100</v>
      </c>
      <c r="E1499" s="10" t="str">
        <f>HYPERLINK("https://twitter.com/Diario_Pontev/status/1069593107723886592","1069593107723886592")</f>
        <v>1069593107723886592</v>
      </c>
      <c r="F1499" s="11" t="s">
        <v>5112</v>
      </c>
      <c r="G1499" s="12"/>
      <c r="H1499" s="12"/>
      <c r="I1499" s="13">
        <v>0</v>
      </c>
      <c r="J1499" s="13">
        <v>0</v>
      </c>
      <c r="K1499" s="14" t="str">
        <f t="shared" si="265"/>
        <v>TweetDeck</v>
      </c>
      <c r="L1499" s="13">
        <v>14012</v>
      </c>
      <c r="M1499" s="13">
        <v>115</v>
      </c>
      <c r="N1499" s="13">
        <v>299</v>
      </c>
      <c r="O1499" s="15"/>
      <c r="P1499" s="6">
        <v>40500.724293981482</v>
      </c>
      <c r="Q1499" s="16" t="s">
        <v>5113</v>
      </c>
      <c r="R1499" s="17" t="s">
        <v>5114</v>
      </c>
      <c r="S1499" s="11" t="s">
        <v>5115</v>
      </c>
      <c r="T1499" s="12"/>
      <c r="U1499" s="10" t="str">
        <f>HYPERLINK("https://pbs.twimg.com/profile_images/702845582721810432/oSRBBicA.jpg","View")</f>
        <v>View</v>
      </c>
    </row>
    <row r="1500" spans="1:21" ht="30.6">
      <c r="A1500" s="6">
        <v>43437.626886574071</v>
      </c>
      <c r="B1500" s="7" t="str">
        <f>HYPERLINK("https://twitter.com/pabloruizlope","@pabloruizlope")</f>
        <v>@pabloruizlope</v>
      </c>
      <c r="C1500" s="8" t="s">
        <v>3039</v>
      </c>
      <c r="D1500" s="9" t="s">
        <v>5116</v>
      </c>
      <c r="E1500" s="10" t="str">
        <f>HYPERLINK("https://twitter.com/pabloruizlope/status/1069592773773398016","1069592773773398016")</f>
        <v>1069592773773398016</v>
      </c>
      <c r="F1500" s="11" t="s">
        <v>5117</v>
      </c>
      <c r="G1500" s="12"/>
      <c r="H1500" s="12"/>
      <c r="I1500" s="13">
        <v>0</v>
      </c>
      <c r="J1500" s="13">
        <v>1</v>
      </c>
      <c r="K1500" s="14" t="str">
        <f>HYPERLINK("http://twitter.com/download/iphone","Twitter for iPhone")</f>
        <v>Twitter for iPhone</v>
      </c>
      <c r="L1500" s="13">
        <v>839</v>
      </c>
      <c r="M1500" s="13">
        <v>2358</v>
      </c>
      <c r="N1500" s="13">
        <v>3</v>
      </c>
      <c r="O1500" s="15"/>
      <c r="P1500" s="6">
        <v>41129.209155092591</v>
      </c>
      <c r="Q1500" s="12"/>
      <c r="R1500" s="17" t="s">
        <v>5118</v>
      </c>
      <c r="S1500" s="12"/>
      <c r="T1500" s="12"/>
      <c r="U1500" s="10" t="str">
        <f>HYPERLINK("https://pbs.twimg.com/profile_images/602158021016326144/N87-AN_u.png","View")</f>
        <v>View</v>
      </c>
    </row>
    <row r="1501" spans="1:21" ht="40.799999999999997">
      <c r="A1501" s="6">
        <v>43437.626226851848</v>
      </c>
      <c r="B1501" s="7" t="str">
        <f>HYPERLINK("https://twitter.com/jatirado","@jatirado")</f>
        <v>@jatirado</v>
      </c>
      <c r="C1501" s="8" t="s">
        <v>188</v>
      </c>
      <c r="D1501" s="9" t="s">
        <v>5119</v>
      </c>
      <c r="E1501" s="10" t="str">
        <f>HYPERLINK("https://twitter.com/jatirado/status/1069592532277911552","1069592532277911552")</f>
        <v>1069592532277911552</v>
      </c>
      <c r="F1501" s="11" t="s">
        <v>5120</v>
      </c>
      <c r="G1501" s="11" t="s">
        <v>5121</v>
      </c>
      <c r="H1501" s="12"/>
      <c r="I1501" s="13">
        <v>1</v>
      </c>
      <c r="J1501" s="13">
        <v>2</v>
      </c>
      <c r="K1501" s="14" t="str">
        <f>HYPERLINK("https://dlvrit.com/","dlvr.it")</f>
        <v>dlvr.it</v>
      </c>
      <c r="L1501" s="13">
        <v>81545</v>
      </c>
      <c r="M1501" s="13">
        <v>49760</v>
      </c>
      <c r="N1501" s="13">
        <v>1030</v>
      </c>
      <c r="O1501" s="15"/>
      <c r="P1501" s="6">
        <v>40353.552581018521</v>
      </c>
      <c r="Q1501" s="16" t="s">
        <v>191</v>
      </c>
      <c r="R1501" s="17" t="s">
        <v>192</v>
      </c>
      <c r="S1501" s="11" t="s">
        <v>193</v>
      </c>
      <c r="T1501" s="12"/>
      <c r="U1501" s="10" t="str">
        <f>HYPERLINK("https://pbs.twimg.com/profile_images/485680559742791680/dg68o8vH.jpeg","View")</f>
        <v>View</v>
      </c>
    </row>
    <row r="1502" spans="1:21" ht="40.799999999999997">
      <c r="A1502" s="6">
        <v>43437.621736111112</v>
      </c>
      <c r="B1502" s="7" t="str">
        <f>HYPERLINK("https://twitter.com/piezas","@piezas")</f>
        <v>@piezas</v>
      </c>
      <c r="C1502" s="8" t="s">
        <v>5122</v>
      </c>
      <c r="D1502" s="9" t="s">
        <v>5123</v>
      </c>
      <c r="E1502" s="10" t="str">
        <f>HYPERLINK("https://twitter.com/piezas/status/1069590903541694465","1069590903541694465")</f>
        <v>1069590903541694465</v>
      </c>
      <c r="F1502" s="12"/>
      <c r="G1502" s="12"/>
      <c r="H1502" s="12"/>
      <c r="I1502" s="13">
        <v>0</v>
      </c>
      <c r="J1502" s="13">
        <v>3</v>
      </c>
      <c r="K1502" s="14" t="str">
        <f>HYPERLINK("http://twitter.com","Twitter Web Client")</f>
        <v>Twitter Web Client</v>
      </c>
      <c r="L1502" s="13">
        <v>4201</v>
      </c>
      <c r="M1502" s="13">
        <v>3493</v>
      </c>
      <c r="N1502" s="13">
        <v>141</v>
      </c>
      <c r="O1502" s="15"/>
      <c r="P1502" s="6">
        <v>39293.648402777777</v>
      </c>
      <c r="Q1502" s="16" t="s">
        <v>5124</v>
      </c>
      <c r="R1502" s="17" t="s">
        <v>5125</v>
      </c>
      <c r="S1502" s="12"/>
      <c r="T1502" s="12"/>
      <c r="U1502" s="10" t="str">
        <f>HYPERLINK("https://pbs.twimg.com/profile_images/875986602291585025/_wVmv5VB.jpg","View")</f>
        <v>View</v>
      </c>
    </row>
    <row r="1503" spans="1:21" ht="40.799999999999997">
      <c r="A1503" s="6">
        <v>43437.621585648143</v>
      </c>
      <c r="B1503" s="7" t="str">
        <f>HYPERLINK("https://twitter.com/lextresabogados","@lextresabogados")</f>
        <v>@lextresabogados</v>
      </c>
      <c r="C1503" s="8" t="s">
        <v>1379</v>
      </c>
      <c r="D1503" s="9" t="s">
        <v>5126</v>
      </c>
      <c r="E1503" s="10" t="str">
        <f>HYPERLINK("https://twitter.com/lextresabogados/status/1069590849607135235","1069590849607135235")</f>
        <v>1069590849607135235</v>
      </c>
      <c r="F1503" s="11" t="s">
        <v>5127</v>
      </c>
      <c r="G1503" s="12"/>
      <c r="H1503" s="12"/>
      <c r="I1503" s="13">
        <v>0</v>
      </c>
      <c r="J1503" s="13">
        <v>0</v>
      </c>
      <c r="K1503" s="14" t="str">
        <f>HYPERLINK("http://35.180.36.179","botize nueva")</f>
        <v>botize nueva</v>
      </c>
      <c r="L1503" s="13">
        <v>2912</v>
      </c>
      <c r="M1503" s="13">
        <v>3525</v>
      </c>
      <c r="N1503" s="13">
        <v>26</v>
      </c>
      <c r="O1503" s="15"/>
      <c r="P1503" s="6">
        <v>42880.770949074074</v>
      </c>
      <c r="Q1503" s="16" t="s">
        <v>1130</v>
      </c>
      <c r="R1503" s="17" t="s">
        <v>1383</v>
      </c>
      <c r="S1503" s="11" t="s">
        <v>1384</v>
      </c>
      <c r="T1503" s="12"/>
      <c r="U1503" s="10" t="str">
        <f>HYPERLINK("https://pbs.twimg.com/profile_images/1068056978679898113/YnjKwiVy.jpg","View")</f>
        <v>View</v>
      </c>
    </row>
    <row r="1504" spans="1:21" ht="40.799999999999997">
      <c r="A1504" s="6">
        <v>43437.621539351851</v>
      </c>
      <c r="B1504" s="7" t="str">
        <f>HYPERLINK("https://twitter.com/20m","@20m")</f>
        <v>@20m</v>
      </c>
      <c r="C1504" s="21" t="s">
        <v>158</v>
      </c>
      <c r="D1504" s="9" t="s">
        <v>5128</v>
      </c>
      <c r="E1504" s="10" t="str">
        <f>HYPERLINK("https://twitter.com/20m/status/1069590832024616962","1069590832024616962")</f>
        <v>1069590832024616962</v>
      </c>
      <c r="F1504" s="11" t="s">
        <v>5127</v>
      </c>
      <c r="G1504" s="12"/>
      <c r="H1504" s="12"/>
      <c r="I1504" s="13">
        <v>7</v>
      </c>
      <c r="J1504" s="13">
        <v>6</v>
      </c>
      <c r="K1504" s="14" t="str">
        <f>HYPERLINK("http://dogtrack.es","DogTrack_Oficial")</f>
        <v>DogTrack_Oficial</v>
      </c>
      <c r="L1504" s="13">
        <v>1353522</v>
      </c>
      <c r="M1504" s="13">
        <v>51093</v>
      </c>
      <c r="N1504" s="13">
        <v>14084</v>
      </c>
      <c r="O1504" s="19" t="s">
        <v>44</v>
      </c>
      <c r="P1504" s="6">
        <v>39917.485891203702</v>
      </c>
      <c r="Q1504" s="16" t="s">
        <v>86</v>
      </c>
      <c r="R1504" s="17" t="s">
        <v>164</v>
      </c>
      <c r="S1504" s="11" t="s">
        <v>165</v>
      </c>
      <c r="T1504" s="12"/>
      <c r="U1504" s="10" t="str">
        <f>HYPERLINK("https://pbs.twimg.com/profile_images/1013670314285420544/gwCE6EJr.jpg","View")</f>
        <v>View</v>
      </c>
    </row>
    <row r="1505" spans="1:21" ht="40.799999999999997">
      <c r="A1505" s="6">
        <v>43437.621122685188</v>
      </c>
      <c r="B1505" s="7" t="str">
        <f>HYPERLINK("https://twitter.com/AlmonteNngg","@AlmonteNngg")</f>
        <v>@AlmonteNngg</v>
      </c>
      <c r="C1505" s="8" t="s">
        <v>5130</v>
      </c>
      <c r="D1505" s="9" t="s">
        <v>5131</v>
      </c>
      <c r="E1505" s="10" t="str">
        <f>HYPERLINK("https://twitter.com/AlmonteNngg/status/1069590683705581569","1069590683705581569")</f>
        <v>1069590683705581569</v>
      </c>
      <c r="F1505" s="11" t="s">
        <v>5132</v>
      </c>
      <c r="G1505" s="12"/>
      <c r="H1505" s="12"/>
      <c r="I1505" s="13">
        <v>0</v>
      </c>
      <c r="J1505" s="13">
        <v>0</v>
      </c>
      <c r="K1505" s="14" t="str">
        <f>HYPERLINK("http://www.facebook.com/twitter","Facebook")</f>
        <v>Facebook</v>
      </c>
      <c r="L1505" s="13">
        <v>140</v>
      </c>
      <c r="M1505" s="13">
        <v>477</v>
      </c>
      <c r="N1505" s="13">
        <v>2</v>
      </c>
      <c r="O1505" s="15"/>
      <c r="P1505" s="6">
        <v>41976.490902777776</v>
      </c>
      <c r="Q1505" s="16" t="s">
        <v>1567</v>
      </c>
      <c r="R1505" s="17" t="s">
        <v>5133</v>
      </c>
      <c r="S1505" s="11" t="s">
        <v>5134</v>
      </c>
      <c r="T1505" s="12"/>
      <c r="U1505" s="10" t="str">
        <f>HYPERLINK("https://pbs.twimg.com/profile_images/540095277462339585/W5wstntr.jpeg","View")</f>
        <v>View</v>
      </c>
    </row>
    <row r="1506" spans="1:21" ht="40.799999999999997">
      <c r="A1506" s="6">
        <v>43437.61782407407</v>
      </c>
      <c r="B1506" s="7" t="str">
        <f>HYPERLINK("https://twitter.com/cayeruby","@cayeruby")</f>
        <v>@cayeruby</v>
      </c>
      <c r="C1506" s="8" t="s">
        <v>218</v>
      </c>
      <c r="D1506" s="9" t="s">
        <v>5135</v>
      </c>
      <c r="E1506" s="10" t="str">
        <f>HYPERLINK("https://twitter.com/cayeruby/status/1069589488702234624","1069589488702234624")</f>
        <v>1069589488702234624</v>
      </c>
      <c r="F1506" s="12"/>
      <c r="G1506" s="12"/>
      <c r="H1506" s="12"/>
      <c r="I1506" s="13">
        <v>1</v>
      </c>
      <c r="J1506" s="13">
        <v>14</v>
      </c>
      <c r="K1506" s="14" t="str">
        <f t="shared" ref="K1506:K1507" si="266">HYPERLINK("http://twitter.com/download/android","Twitter for Android")</f>
        <v>Twitter for Android</v>
      </c>
      <c r="L1506" s="13">
        <v>29765</v>
      </c>
      <c r="M1506" s="13">
        <v>19555</v>
      </c>
      <c r="N1506" s="13">
        <v>191</v>
      </c>
      <c r="O1506" s="15"/>
      <c r="P1506" s="6">
        <v>41316.125416666662</v>
      </c>
      <c r="Q1506" s="16" t="s">
        <v>221</v>
      </c>
      <c r="R1506" s="17" t="s">
        <v>222</v>
      </c>
      <c r="S1506" s="12"/>
      <c r="T1506" s="12"/>
      <c r="U1506" s="10" t="str">
        <f>HYPERLINK("https://pbs.twimg.com/profile_images/1017740980752146432/Jrrw8PP1.jpg","View")</f>
        <v>View</v>
      </c>
    </row>
    <row r="1507" spans="1:21" ht="71.400000000000006">
      <c r="A1507" s="6">
        <v>43437.617627314816</v>
      </c>
      <c r="B1507" s="7" t="str">
        <f>HYPERLINK("https://twitter.com/david_bel","@david_bel")</f>
        <v>@david_bel</v>
      </c>
      <c r="C1507" s="8" t="s">
        <v>5136</v>
      </c>
      <c r="D1507" s="9" t="s">
        <v>5137</v>
      </c>
      <c r="E1507" s="10" t="str">
        <f>HYPERLINK("https://twitter.com/david_bel/status/1069589416153370625","1069589416153370625")</f>
        <v>1069589416153370625</v>
      </c>
      <c r="F1507" s="16" t="s">
        <v>4119</v>
      </c>
      <c r="G1507" s="11" t="s">
        <v>4120</v>
      </c>
      <c r="H1507" s="12"/>
      <c r="I1507" s="13">
        <v>0</v>
      </c>
      <c r="J1507" s="13">
        <v>0</v>
      </c>
      <c r="K1507" s="14" t="str">
        <f t="shared" si="266"/>
        <v>Twitter for Android</v>
      </c>
      <c r="L1507" s="13">
        <v>3009</v>
      </c>
      <c r="M1507" s="13">
        <v>1320</v>
      </c>
      <c r="N1507" s="13">
        <v>114</v>
      </c>
      <c r="O1507" s="15"/>
      <c r="P1507" s="6">
        <v>40155.777592592596</v>
      </c>
      <c r="Q1507" s="16" t="s">
        <v>4073</v>
      </c>
      <c r="R1507" s="17" t="s">
        <v>5138</v>
      </c>
      <c r="S1507" s="11" t="s">
        <v>5139</v>
      </c>
      <c r="T1507" s="12"/>
      <c r="U1507" s="10" t="str">
        <f>HYPERLINK("https://pbs.twimg.com/profile_images/1048536504971264000/bClWDPJS.jpg","View")</f>
        <v>View</v>
      </c>
    </row>
    <row r="1508" spans="1:21" ht="30.6">
      <c r="A1508" s="6">
        <v>43437.616226851853</v>
      </c>
      <c r="B1508" s="7" t="str">
        <f>HYPERLINK("https://twitter.com/Gony_Casado","@Gony_Casado")</f>
        <v>@Gony_Casado</v>
      </c>
      <c r="C1508" s="8" t="s">
        <v>5140</v>
      </c>
      <c r="D1508" s="9" t="s">
        <v>5141</v>
      </c>
      <c r="E1508" s="10" t="str">
        <f>HYPERLINK("https://twitter.com/Gony_Casado/status/1069588910257438720","1069588910257438720")</f>
        <v>1069588910257438720</v>
      </c>
      <c r="F1508" s="16" t="s">
        <v>5142</v>
      </c>
      <c r="G1508" s="12"/>
      <c r="H1508" s="12"/>
      <c r="I1508" s="13">
        <v>2</v>
      </c>
      <c r="J1508" s="13">
        <v>2</v>
      </c>
      <c r="K1508" s="14" t="str">
        <f>HYPERLINK("http://twitter.com/download/iphone","Twitter for iPhone")</f>
        <v>Twitter for iPhone</v>
      </c>
      <c r="L1508" s="13">
        <v>540</v>
      </c>
      <c r="M1508" s="13">
        <v>186</v>
      </c>
      <c r="N1508" s="13">
        <v>8</v>
      </c>
      <c r="O1508" s="15"/>
      <c r="P1508" s="6">
        <v>40685.968726851854</v>
      </c>
      <c r="Q1508" s="16" t="s">
        <v>5143</v>
      </c>
      <c r="R1508" s="17" t="s">
        <v>5144</v>
      </c>
      <c r="S1508" s="12"/>
      <c r="T1508" s="12"/>
      <c r="U1508" s="10" t="str">
        <f>HYPERLINK("https://pbs.twimg.com/profile_images/1015368234852380672/izYHu-nY.jpg","View")</f>
        <v>View</v>
      </c>
    </row>
    <row r="1509" spans="1:21" ht="30.6">
      <c r="A1509" s="6">
        <v>43437.614166666666</v>
      </c>
      <c r="B1509" s="7" t="str">
        <f>HYPERLINK("https://twitter.com/EmilioOrdiz","@EmilioOrdiz")</f>
        <v>@EmilioOrdiz</v>
      </c>
      <c r="C1509" s="8" t="s">
        <v>5014</v>
      </c>
      <c r="D1509" s="9" t="s">
        <v>5145</v>
      </c>
      <c r="E1509" s="10" t="str">
        <f>HYPERLINK("https://twitter.com/EmilioOrdiz/status/1069588162295541760","1069588162295541760")</f>
        <v>1069588162295541760</v>
      </c>
      <c r="F1509" s="11" t="s">
        <v>5012</v>
      </c>
      <c r="G1509" s="12"/>
      <c r="H1509" s="12"/>
      <c r="I1509" s="13">
        <v>1</v>
      </c>
      <c r="J1509" s="13">
        <v>1</v>
      </c>
      <c r="K1509" s="14" t="str">
        <f>HYPERLINK("http://twitter.com","Twitter Web Client")</f>
        <v>Twitter Web Client</v>
      </c>
      <c r="L1509" s="13">
        <v>1052</v>
      </c>
      <c r="M1509" s="13">
        <v>617</v>
      </c>
      <c r="N1509" s="13">
        <v>18</v>
      </c>
      <c r="O1509" s="15"/>
      <c r="P1509" s="6">
        <v>40300.574282407411</v>
      </c>
      <c r="Q1509" s="16" t="s">
        <v>5016</v>
      </c>
      <c r="R1509" s="17" t="s">
        <v>5017</v>
      </c>
      <c r="S1509" s="11" t="s">
        <v>5018</v>
      </c>
      <c r="T1509" s="12"/>
      <c r="U1509" s="10" t="str">
        <f>HYPERLINK("https://pbs.twimg.com/profile_images/1049291220093165568/fvvmPJMP.jpg","View")</f>
        <v>View</v>
      </c>
    </row>
    <row r="1510" spans="1:21" ht="51">
      <c r="A1510" s="6">
        <v>43437.611967592587</v>
      </c>
      <c r="B1510" s="7" t="str">
        <f>HYPERLINK("https://twitter.com/JuanMCastaeda1","@JuanMCastaeda1")</f>
        <v>@JuanMCastaeda1</v>
      </c>
      <c r="C1510" s="8" t="s">
        <v>5146</v>
      </c>
      <c r="D1510" s="9" t="s">
        <v>5147</v>
      </c>
      <c r="E1510" s="10" t="str">
        <f>HYPERLINK("https://twitter.com/JuanMCastaeda1/status/1069587366657036289","1069587366657036289")</f>
        <v>1069587366657036289</v>
      </c>
      <c r="F1510" s="12"/>
      <c r="G1510" s="12"/>
      <c r="H1510" s="12"/>
      <c r="I1510" s="13">
        <v>0</v>
      </c>
      <c r="J1510" s="13">
        <v>0</v>
      </c>
      <c r="K1510" s="14" t="str">
        <f>HYPERLINK("http://twitter.com/download/android","Twitter for Android")</f>
        <v>Twitter for Android</v>
      </c>
      <c r="L1510" s="13">
        <v>200</v>
      </c>
      <c r="M1510" s="13">
        <v>168</v>
      </c>
      <c r="N1510" s="13">
        <v>2</v>
      </c>
      <c r="O1510" s="15"/>
      <c r="P1510" s="6">
        <v>42804.021932870368</v>
      </c>
      <c r="Q1510" s="12"/>
      <c r="R1510" s="17" t="s">
        <v>5148</v>
      </c>
      <c r="S1510" s="12"/>
      <c r="T1510" s="12"/>
      <c r="U1510" s="10" t="str">
        <f>HYPERLINK("https://pbs.twimg.com/profile_images/1053001333794635777/II5l_BFm.jpg","View")</f>
        <v>View</v>
      </c>
    </row>
    <row r="1511" spans="1:21" ht="20.399999999999999">
      <c r="A1511" s="6">
        <v>43437.611527777779</v>
      </c>
      <c r="B1511" s="7" t="str">
        <f>HYPERLINK("https://twitter.com/luysen","@luysen")</f>
        <v>@luysen</v>
      </c>
      <c r="C1511" s="8" t="s">
        <v>5149</v>
      </c>
      <c r="D1511" s="9" t="s">
        <v>5150</v>
      </c>
      <c r="E1511" s="10" t="str">
        <f>HYPERLINK("https://twitter.com/luysen/status/1069587207789453312","1069587207789453312")</f>
        <v>1069587207789453312</v>
      </c>
      <c r="F1511" s="12"/>
      <c r="G1511" s="12"/>
      <c r="H1511" s="12"/>
      <c r="I1511" s="13">
        <v>5</v>
      </c>
      <c r="J1511" s="13">
        <v>29</v>
      </c>
      <c r="K1511" s="14" t="str">
        <f>HYPERLINK("https://about.twitter.com/products/tweetdeck","TweetDeck")</f>
        <v>TweetDeck</v>
      </c>
      <c r="L1511" s="13">
        <v>2382</v>
      </c>
      <c r="M1511" s="13">
        <v>832</v>
      </c>
      <c r="N1511" s="13">
        <v>51</v>
      </c>
      <c r="O1511" s="15"/>
      <c r="P1511" s="6">
        <v>40290.467569444445</v>
      </c>
      <c r="Q1511" s="16" t="s">
        <v>5151</v>
      </c>
      <c r="R1511" s="17" t="s">
        <v>5152</v>
      </c>
      <c r="S1511" s="12"/>
      <c r="T1511" s="12"/>
      <c r="U1511" s="10" t="str">
        <f>HYPERLINK("https://pbs.twimg.com/profile_images/1047931192434184193/xPK3xQRU.jpg","View")</f>
        <v>View</v>
      </c>
    </row>
    <row r="1512" spans="1:21" ht="40.799999999999997">
      <c r="A1512" s="6">
        <v>43437.607835648145</v>
      </c>
      <c r="B1512" s="7" t="str">
        <f>HYPERLINK("https://twitter.com/nnggcalahorra","@nnggcalahorra")</f>
        <v>@nnggcalahorra</v>
      </c>
      <c r="C1512" s="8" t="s">
        <v>5153</v>
      </c>
      <c r="D1512" s="9" t="s">
        <v>5154</v>
      </c>
      <c r="E1512" s="10" t="str">
        <f>HYPERLINK("https://twitter.com/nnggcalahorra/status/1069585868942450689","1069585868942450689")</f>
        <v>1069585868942450689</v>
      </c>
      <c r="F1512" s="11" t="s">
        <v>5155</v>
      </c>
      <c r="G1512" s="12"/>
      <c r="H1512" s="12"/>
      <c r="I1512" s="13">
        <v>0</v>
      </c>
      <c r="J1512" s="13">
        <v>0</v>
      </c>
      <c r="K1512" s="14" t="str">
        <f>HYPERLINK("http://www.facebook.com/twitter","Facebook")</f>
        <v>Facebook</v>
      </c>
      <c r="L1512" s="13">
        <v>256</v>
      </c>
      <c r="M1512" s="13">
        <v>253</v>
      </c>
      <c r="N1512" s="13">
        <v>6</v>
      </c>
      <c r="O1512" s="15"/>
      <c r="P1512" s="6">
        <v>41602.405324074076</v>
      </c>
      <c r="Q1512" s="16" t="s">
        <v>5156</v>
      </c>
      <c r="R1512" s="17" t="s">
        <v>5157</v>
      </c>
      <c r="S1512" s="11" t="s">
        <v>5158</v>
      </c>
      <c r="T1512" s="12"/>
      <c r="U1512" s="10" t="str">
        <f>HYPERLINK("https://pbs.twimg.com/profile_images/917766110795255808/EKcgWEuT.jpg","View")</f>
        <v>View</v>
      </c>
    </row>
    <row r="1513" spans="1:21" ht="40.799999999999997">
      <c r="A1513" s="6">
        <v>43437.607037037036</v>
      </c>
      <c r="B1513" s="7" t="str">
        <f>HYPERLINK("https://twitter.com/herascasado","@herascasado")</f>
        <v>@herascasado</v>
      </c>
      <c r="C1513" s="8" t="s">
        <v>5159</v>
      </c>
      <c r="D1513" s="9" t="s">
        <v>5160</v>
      </c>
      <c r="E1513" s="10" t="str">
        <f>HYPERLINK("https://twitter.com/herascasado/status/1069585579283750914","1069585579283750914")</f>
        <v>1069585579283750914</v>
      </c>
      <c r="F1513" s="11" t="s">
        <v>5161</v>
      </c>
      <c r="G1513" s="11" t="s">
        <v>5162</v>
      </c>
      <c r="H1513" s="12"/>
      <c r="I1513" s="13">
        <v>1</v>
      </c>
      <c r="J1513" s="13">
        <v>8</v>
      </c>
      <c r="K1513" s="14" t="str">
        <f t="shared" ref="K1513:K1514" si="267">HYPERLINK("http://twitter.com/download/iphone","Twitter for iPhone")</f>
        <v>Twitter for iPhone</v>
      </c>
      <c r="L1513" s="13">
        <v>7827</v>
      </c>
      <c r="M1513" s="13">
        <v>2342</v>
      </c>
      <c r="N1513" s="13">
        <v>158</v>
      </c>
      <c r="O1513" s="15"/>
      <c r="P1513" s="6">
        <v>40456.019629629627</v>
      </c>
      <c r="Q1513" s="16" t="s">
        <v>5163</v>
      </c>
      <c r="R1513" s="17" t="s">
        <v>5164</v>
      </c>
      <c r="S1513" s="11" t="s">
        <v>5165</v>
      </c>
      <c r="T1513" s="12"/>
      <c r="U1513" s="10" t="str">
        <f>HYPERLINK("https://pbs.twimg.com/profile_images/953220724663181313/WliUy2Fe.jpg","View")</f>
        <v>View</v>
      </c>
    </row>
    <row r="1514" spans="1:21" ht="30.6">
      <c r="A1514" s="6">
        <v>43437.605810185181</v>
      </c>
      <c r="B1514" s="7" t="str">
        <f>HYPERLINK("https://twitter.com/marikillasm","@marikillasm")</f>
        <v>@marikillasm</v>
      </c>
      <c r="C1514" s="8" t="s">
        <v>5166</v>
      </c>
      <c r="D1514" s="9" t="s">
        <v>5167</v>
      </c>
      <c r="E1514" s="10" t="str">
        <f>HYPERLINK("https://twitter.com/marikillasm/status/1069585134473621506","1069585134473621506")</f>
        <v>1069585134473621506</v>
      </c>
      <c r="F1514" s="12"/>
      <c r="G1514" s="12"/>
      <c r="H1514" s="12"/>
      <c r="I1514" s="13">
        <v>0</v>
      </c>
      <c r="J1514" s="13">
        <v>2</v>
      </c>
      <c r="K1514" s="14" t="str">
        <f t="shared" si="267"/>
        <v>Twitter for iPhone</v>
      </c>
      <c r="L1514" s="13">
        <v>98</v>
      </c>
      <c r="M1514" s="13">
        <v>221</v>
      </c>
      <c r="N1514" s="13">
        <v>1</v>
      </c>
      <c r="O1514" s="15"/>
      <c r="P1514" s="6">
        <v>41017.03738425926</v>
      </c>
      <c r="Q1514" s="12"/>
      <c r="R1514" s="20"/>
      <c r="S1514" s="12"/>
      <c r="T1514" s="12"/>
      <c r="U1514" s="10" t="str">
        <f>HYPERLINK("https://pbs.twimg.com/profile_images/1019226204388421633/AufCuwrc.jpg","View")</f>
        <v>View</v>
      </c>
    </row>
    <row r="1515" spans="1:21" ht="20.399999999999999">
      <c r="A1515" s="6">
        <v>43437.602743055555</v>
      </c>
      <c r="B1515" s="7" t="str">
        <f>HYPERLINK("https://twitter.com/FranMcStarr","@FranMcStarr")</f>
        <v>@FranMcStarr</v>
      </c>
      <c r="C1515" s="8" t="s">
        <v>5168</v>
      </c>
      <c r="D1515" s="9" t="s">
        <v>5169</v>
      </c>
      <c r="E1515" s="10" t="str">
        <f>HYPERLINK("https://twitter.com/FranMcStarr/status/1069584023952023553","1069584023952023553")</f>
        <v>1069584023952023553</v>
      </c>
      <c r="F1515" s="12"/>
      <c r="G1515" s="12"/>
      <c r="H1515" s="12"/>
      <c r="I1515" s="13">
        <v>0</v>
      </c>
      <c r="J1515" s="13">
        <v>0</v>
      </c>
      <c r="K1515" s="14" t="str">
        <f>HYPERLINK("http://twitter.com","Twitter Web Client")</f>
        <v>Twitter Web Client</v>
      </c>
      <c r="L1515" s="13">
        <v>509</v>
      </c>
      <c r="M1515" s="13">
        <v>429</v>
      </c>
      <c r="N1515" s="13">
        <v>7</v>
      </c>
      <c r="O1515" s="15"/>
      <c r="P1515" s="6">
        <v>40783.167488425926</v>
      </c>
      <c r="Q1515" s="16" t="s">
        <v>3021</v>
      </c>
      <c r="R1515" s="17" t="s">
        <v>5170</v>
      </c>
      <c r="S1515" s="11" t="s">
        <v>5171</v>
      </c>
      <c r="T1515" s="12"/>
      <c r="U1515" s="10" t="str">
        <f>HYPERLINK("https://pbs.twimg.com/profile_images/1069688229312585728/JXAt0Gp3.jpg","View")</f>
        <v>View</v>
      </c>
    </row>
    <row r="1516" spans="1:21" ht="40.799999999999997">
      <c r="A1516" s="6">
        <v>43437.599814814814</v>
      </c>
      <c r="B1516" s="7" t="str">
        <f>HYPERLINK("https://twitter.com/PabloAIglesias","@PabloAIglesias")</f>
        <v>@PabloAIglesias</v>
      </c>
      <c r="C1516" s="8" t="s">
        <v>5172</v>
      </c>
      <c r="D1516" s="9" t="s">
        <v>5173</v>
      </c>
      <c r="E1516" s="10" t="str">
        <f>HYPERLINK("https://twitter.com/PabloAIglesias/status/1069582963082477568","1069582963082477568")</f>
        <v>1069582963082477568</v>
      </c>
      <c r="F1516" s="12"/>
      <c r="G1516" s="11" t="s">
        <v>5174</v>
      </c>
      <c r="H1516" s="12"/>
      <c r="I1516" s="13">
        <v>1</v>
      </c>
      <c r="J1516" s="13">
        <v>0</v>
      </c>
      <c r="K1516" s="14" t="str">
        <f>HYPERLINK("http://twitter.com/download/android","Twitter for Android")</f>
        <v>Twitter for Android</v>
      </c>
      <c r="L1516" s="13">
        <v>8010</v>
      </c>
      <c r="M1516" s="13">
        <v>2090</v>
      </c>
      <c r="N1516" s="13">
        <v>313</v>
      </c>
      <c r="O1516" s="15"/>
      <c r="P1516" s="6">
        <v>40609.909270833334</v>
      </c>
      <c r="Q1516" s="12"/>
      <c r="R1516" s="17" t="s">
        <v>5175</v>
      </c>
      <c r="S1516" s="11" t="s">
        <v>4048</v>
      </c>
      <c r="T1516" s="12"/>
      <c r="U1516" s="10" t="str">
        <f>HYPERLINK("https://pbs.twimg.com/profile_images/378800000429787056/935d8f984df5f963e05a3913976dc554.jpeg","View")</f>
        <v>View</v>
      </c>
    </row>
    <row r="1517" spans="1:21" ht="40.799999999999997">
      <c r="A1517" s="6">
        <v>43437.599363425921</v>
      </c>
      <c r="B1517" s="7" t="str">
        <f>HYPERLINK("https://twitter.com/JCespinosap","@JCespinosap")</f>
        <v>@JCespinosap</v>
      </c>
      <c r="C1517" s="8" t="s">
        <v>5051</v>
      </c>
      <c r="D1517" s="9" t="s">
        <v>5176</v>
      </c>
      <c r="E1517" s="10" t="str">
        <f>HYPERLINK("https://twitter.com/JCespinosap/status/1069582796249853952","1069582796249853952")</f>
        <v>1069582796249853952</v>
      </c>
      <c r="F1517" s="12"/>
      <c r="G1517" s="12"/>
      <c r="H1517" s="12"/>
      <c r="I1517" s="13">
        <v>0</v>
      </c>
      <c r="J1517" s="13">
        <v>0</v>
      </c>
      <c r="K1517" s="14" t="str">
        <f t="shared" ref="K1517:K1519" si="268">HYPERLINK("http://twitter.com","Twitter Web Client")</f>
        <v>Twitter Web Client</v>
      </c>
      <c r="L1517" s="13">
        <v>689</v>
      </c>
      <c r="M1517" s="13">
        <v>2456</v>
      </c>
      <c r="N1517" s="13">
        <v>7</v>
      </c>
      <c r="O1517" s="15"/>
      <c r="P1517" s="6">
        <v>40202.908032407409</v>
      </c>
      <c r="Q1517" s="16" t="s">
        <v>109</v>
      </c>
      <c r="R1517" s="17" t="s">
        <v>5052</v>
      </c>
      <c r="S1517" s="11" t="s">
        <v>5053</v>
      </c>
      <c r="T1517" s="12"/>
      <c r="U1517" s="10" t="str">
        <f>HYPERLINK("https://pbs.twimg.com/profile_images/953657054903676928/1x1THIgv.jpg","View")</f>
        <v>View</v>
      </c>
    </row>
    <row r="1518" spans="1:21" ht="40.799999999999997">
      <c r="A1518" s="6">
        <v>43437.598692129628</v>
      </c>
      <c r="B1518" s="7" t="str">
        <f t="shared" ref="B1518:B1519" si="269">HYPERLINK("https://twitter.com/LfilodelabrechA","@LfilodelabrechA")</f>
        <v>@LfilodelabrechA</v>
      </c>
      <c r="C1518" s="8" t="s">
        <v>4033</v>
      </c>
      <c r="D1518" s="9" t="s">
        <v>5177</v>
      </c>
      <c r="E1518" s="10" t="str">
        <f>HYPERLINK("https://twitter.com/LfilodelabrechA/status/1069582555144429568","1069582555144429568")</f>
        <v>1069582555144429568</v>
      </c>
      <c r="F1518" s="12"/>
      <c r="G1518" s="12"/>
      <c r="H1518" s="12"/>
      <c r="I1518" s="13">
        <v>12</v>
      </c>
      <c r="J1518" s="13">
        <v>19</v>
      </c>
      <c r="K1518" s="14" t="str">
        <f t="shared" si="268"/>
        <v>Twitter Web Client</v>
      </c>
      <c r="L1518" s="13">
        <v>21395</v>
      </c>
      <c r="M1518" s="13">
        <v>16322</v>
      </c>
      <c r="N1518" s="13">
        <v>155</v>
      </c>
      <c r="O1518" s="15"/>
      <c r="P1518" s="6">
        <v>41995.189953703702</v>
      </c>
      <c r="Q1518" s="16" t="s">
        <v>4036</v>
      </c>
      <c r="R1518" s="17" t="s">
        <v>4037</v>
      </c>
      <c r="S1518" s="11" t="s">
        <v>4038</v>
      </c>
      <c r="T1518" s="12"/>
      <c r="U1518" s="10" t="str">
        <f t="shared" ref="U1518:U1519" si="270">HYPERLINK("https://pbs.twimg.com/profile_images/1015231495512915968/1SaMhOsw.jpg","View")</f>
        <v>View</v>
      </c>
    </row>
    <row r="1519" spans="1:21" ht="40.799999999999997">
      <c r="A1519" s="6">
        <v>43437.597418981481</v>
      </c>
      <c r="B1519" s="7" t="str">
        <f t="shared" si="269"/>
        <v>@LfilodelabrechA</v>
      </c>
      <c r="C1519" s="8" t="s">
        <v>4033</v>
      </c>
      <c r="D1519" s="9" t="s">
        <v>5178</v>
      </c>
      <c r="E1519" s="10" t="str">
        <f>HYPERLINK("https://twitter.com/LfilodelabrechA/status/1069582093754216449","1069582093754216449")</f>
        <v>1069582093754216449</v>
      </c>
      <c r="F1519" s="12"/>
      <c r="G1519" s="12"/>
      <c r="H1519" s="12"/>
      <c r="I1519" s="13">
        <v>0</v>
      </c>
      <c r="J1519" s="13">
        <v>1</v>
      </c>
      <c r="K1519" s="14" t="str">
        <f t="shared" si="268"/>
        <v>Twitter Web Client</v>
      </c>
      <c r="L1519" s="13">
        <v>21395</v>
      </c>
      <c r="M1519" s="13">
        <v>16322</v>
      </c>
      <c r="N1519" s="13">
        <v>155</v>
      </c>
      <c r="O1519" s="15"/>
      <c r="P1519" s="6">
        <v>41995.189953703702</v>
      </c>
      <c r="Q1519" s="16" t="s">
        <v>4036</v>
      </c>
      <c r="R1519" s="17" t="s">
        <v>4037</v>
      </c>
      <c r="S1519" s="11" t="s">
        <v>4038</v>
      </c>
      <c r="T1519" s="12"/>
      <c r="U1519" s="10" t="str">
        <f t="shared" si="270"/>
        <v>View</v>
      </c>
    </row>
    <row r="1520" spans="1:21" ht="40.799999999999997">
      <c r="A1520" s="6">
        <v>43437.597094907411</v>
      </c>
      <c r="B1520" s="7" t="str">
        <f>HYPERLINK("https://twitter.com/momartint","@momartint")</f>
        <v>@momartint</v>
      </c>
      <c r="C1520" s="8" t="s">
        <v>5179</v>
      </c>
      <c r="D1520" s="9" t="s">
        <v>5180</v>
      </c>
      <c r="E1520" s="10" t="str">
        <f>HYPERLINK("https://twitter.com/momartint/status/1069581977161015296","1069581977161015296")</f>
        <v>1069581977161015296</v>
      </c>
      <c r="F1520" s="12"/>
      <c r="G1520" s="12"/>
      <c r="H1520" s="12"/>
      <c r="I1520" s="13">
        <v>0</v>
      </c>
      <c r="J1520" s="13">
        <v>0</v>
      </c>
      <c r="K1520" s="14" t="str">
        <f>HYPERLINK("http://twitter.com/download/android","Twitter for Android")</f>
        <v>Twitter for Android</v>
      </c>
      <c r="L1520" s="13">
        <v>740</v>
      </c>
      <c r="M1520" s="13">
        <v>1037</v>
      </c>
      <c r="N1520" s="13">
        <v>9</v>
      </c>
      <c r="O1520" s="15"/>
      <c r="P1520" s="6">
        <v>40832.850694444445</v>
      </c>
      <c r="Q1520" s="12"/>
      <c r="R1520" s="17" t="s">
        <v>5181</v>
      </c>
      <c r="S1520" s="12"/>
      <c r="T1520" s="12"/>
      <c r="U1520" s="10" t="str">
        <f>HYPERLINK("https://pbs.twimg.com/profile_images/791242368506851328/2WpUDiuh.jpg","View")</f>
        <v>View</v>
      </c>
    </row>
    <row r="1521" spans="1:21" ht="40.799999999999997">
      <c r="A1521" s="6">
        <v>43437.596863425926</v>
      </c>
      <c r="B1521" s="7" t="str">
        <f>HYPERLINK("https://twitter.com/LfilodelabrechA","@LfilodelabrechA")</f>
        <v>@LfilodelabrechA</v>
      </c>
      <c r="C1521" s="8" t="s">
        <v>4033</v>
      </c>
      <c r="D1521" s="9" t="s">
        <v>5182</v>
      </c>
      <c r="E1521" s="10" t="str">
        <f>HYPERLINK("https://twitter.com/LfilodelabrechA/status/1069581890498248704","1069581890498248704")</f>
        <v>1069581890498248704</v>
      </c>
      <c r="F1521" s="12"/>
      <c r="G1521" s="12"/>
      <c r="H1521" s="12"/>
      <c r="I1521" s="13">
        <v>0</v>
      </c>
      <c r="J1521" s="13">
        <v>4</v>
      </c>
      <c r="K1521" s="14" t="str">
        <f t="shared" ref="K1521:K1522" si="271">HYPERLINK("http://twitter.com","Twitter Web Client")</f>
        <v>Twitter Web Client</v>
      </c>
      <c r="L1521" s="13">
        <v>21395</v>
      </c>
      <c r="M1521" s="13">
        <v>16322</v>
      </c>
      <c r="N1521" s="13">
        <v>155</v>
      </c>
      <c r="O1521" s="15"/>
      <c r="P1521" s="6">
        <v>41995.189953703702</v>
      </c>
      <c r="Q1521" s="16" t="s">
        <v>4036</v>
      </c>
      <c r="R1521" s="17" t="s">
        <v>4037</v>
      </c>
      <c r="S1521" s="11" t="s">
        <v>4038</v>
      </c>
      <c r="T1521" s="12"/>
      <c r="U1521" s="10" t="str">
        <f>HYPERLINK("https://pbs.twimg.com/profile_images/1015231495512915968/1SaMhOsw.jpg","View")</f>
        <v>View</v>
      </c>
    </row>
    <row r="1522" spans="1:21" ht="40.799999999999997">
      <c r="A1522" s="6">
        <v>43437.595555555556</v>
      </c>
      <c r="B1522" s="7" t="str">
        <f>HYPERLINK("https://twitter.com/agathecortes","@agathecortes")</f>
        <v>@agathecortes</v>
      </c>
      <c r="C1522" s="8" t="s">
        <v>5183</v>
      </c>
      <c r="D1522" s="9" t="s">
        <v>5184</v>
      </c>
      <c r="E1522" s="10" t="str">
        <f>HYPERLINK("https://twitter.com/agathecortes/status/1069581419670880256","1069581419670880256")</f>
        <v>1069581419670880256</v>
      </c>
      <c r="F1522" s="12"/>
      <c r="G1522" s="12"/>
      <c r="H1522" s="12"/>
      <c r="I1522" s="13">
        <v>0</v>
      </c>
      <c r="J1522" s="13">
        <v>0</v>
      </c>
      <c r="K1522" s="14" t="str">
        <f t="shared" si="271"/>
        <v>Twitter Web Client</v>
      </c>
      <c r="L1522" s="13">
        <v>69</v>
      </c>
      <c r="M1522" s="13">
        <v>112</v>
      </c>
      <c r="N1522" s="13">
        <v>1</v>
      </c>
      <c r="O1522" s="15"/>
      <c r="P1522" s="6">
        <v>41179.489814814813</v>
      </c>
      <c r="Q1522" s="16" t="s">
        <v>232</v>
      </c>
      <c r="R1522" s="17" t="s">
        <v>5185</v>
      </c>
      <c r="S1522" s="12"/>
      <c r="T1522" s="12"/>
      <c r="U1522" s="10" t="str">
        <f>HYPERLINK("https://pbs.twimg.com/profile_images/1058794106401501184/YaduKWIT.jpg","View")</f>
        <v>View</v>
      </c>
    </row>
    <row r="1523" spans="1:21" ht="20.399999999999999">
      <c r="A1523" s="6">
        <v>43437.594953703709</v>
      </c>
      <c r="B1523" s="7" t="str">
        <f>HYPERLINK("https://twitter.com/abcespana","@abcespana")</f>
        <v>@abcespana</v>
      </c>
      <c r="C1523" s="8" t="s">
        <v>5186</v>
      </c>
      <c r="D1523" s="9" t="s">
        <v>5187</v>
      </c>
      <c r="E1523" s="10" t="str">
        <f>HYPERLINK("https://twitter.com/abcespana/status/1069581198228430848","1069581198228430848")</f>
        <v>1069581198228430848</v>
      </c>
      <c r="F1523" s="11" t="s">
        <v>5188</v>
      </c>
      <c r="G1523" s="12"/>
      <c r="H1523" s="12"/>
      <c r="I1523" s="13">
        <v>0</v>
      </c>
      <c r="J1523" s="13">
        <v>2</v>
      </c>
      <c r="K1523" s="14" t="str">
        <f>HYPERLINK("http://dogtrack.es","DogTrack_Oficial")</f>
        <v>DogTrack_Oficial</v>
      </c>
      <c r="L1523" s="13">
        <v>12382</v>
      </c>
      <c r="M1523" s="13">
        <v>199</v>
      </c>
      <c r="N1523" s="13">
        <v>222</v>
      </c>
      <c r="O1523" s="19" t="s">
        <v>44</v>
      </c>
      <c r="P1523" s="6">
        <v>41820.4840625</v>
      </c>
      <c r="Q1523" s="12"/>
      <c r="R1523" s="17" t="s">
        <v>5189</v>
      </c>
      <c r="S1523" s="11" t="s">
        <v>5190</v>
      </c>
      <c r="T1523" s="12"/>
      <c r="U1523" s="10" t="str">
        <f>HYPERLINK("https://pbs.twimg.com/profile_images/660003544939012096/foGuoVBZ.png","View")</f>
        <v>View</v>
      </c>
    </row>
    <row r="1524" spans="1:21" ht="30.6">
      <c r="A1524" s="6">
        <v>43437.59447916667</v>
      </c>
      <c r="B1524" s="7" t="str">
        <f>HYPERLINK("https://twitter.com/Jtravieso","@Jtravieso")</f>
        <v>@Jtravieso</v>
      </c>
      <c r="C1524" s="8" t="s">
        <v>5191</v>
      </c>
      <c r="D1524" s="9" t="s">
        <v>5192</v>
      </c>
      <c r="E1524" s="10" t="str">
        <f>HYPERLINK("https://twitter.com/Jtravieso/status/1069581027784433664","1069581027784433664")</f>
        <v>1069581027784433664</v>
      </c>
      <c r="F1524" s="12"/>
      <c r="G1524" s="12"/>
      <c r="H1524" s="12"/>
      <c r="I1524" s="13">
        <v>4</v>
      </c>
      <c r="J1524" s="13">
        <v>4</v>
      </c>
      <c r="K1524" s="14" t="str">
        <f>HYPERLINK("http://twitter.com","Twitter Web Client")</f>
        <v>Twitter Web Client</v>
      </c>
      <c r="L1524" s="13">
        <v>3820</v>
      </c>
      <c r="M1524" s="13">
        <v>478</v>
      </c>
      <c r="N1524" s="13">
        <v>172</v>
      </c>
      <c r="O1524" s="15"/>
      <c r="P1524" s="6">
        <v>39929.588912037041</v>
      </c>
      <c r="Q1524" s="16" t="s">
        <v>5193</v>
      </c>
      <c r="R1524" s="17" t="s">
        <v>5194</v>
      </c>
      <c r="S1524" s="12"/>
      <c r="T1524" s="12"/>
      <c r="U1524" s="10" t="str">
        <f>HYPERLINK("https://pbs.twimg.com/profile_images/1003539364432007168/CddT9IvV.jpg","View")</f>
        <v>View</v>
      </c>
    </row>
    <row r="1525" spans="1:21" ht="30.6">
      <c r="A1525" s="6">
        <v>43437.588310185187</v>
      </c>
      <c r="B1525" s="7" t="str">
        <f>HYPERLINK("https://twitter.com/eldiarioes","@eldiarioes")</f>
        <v>@eldiarioes</v>
      </c>
      <c r="C1525" s="21" t="s">
        <v>964</v>
      </c>
      <c r="D1525" s="9" t="s">
        <v>5195</v>
      </c>
      <c r="E1525" s="10" t="str">
        <f>HYPERLINK("https://twitter.com/eldiarioes/status/1069578790056222723","1069578790056222723")</f>
        <v>1069578790056222723</v>
      </c>
      <c r="F1525" s="11" t="s">
        <v>5196</v>
      </c>
      <c r="G1525" s="11" t="s">
        <v>5197</v>
      </c>
      <c r="H1525" s="12"/>
      <c r="I1525" s="13">
        <v>3</v>
      </c>
      <c r="J1525" s="13">
        <v>3</v>
      </c>
      <c r="K1525" s="14" t="str">
        <f>HYPERLINK("https://about.twitter.com/products/tweetdeck","TweetDeck")</f>
        <v>TweetDeck</v>
      </c>
      <c r="L1525" s="13">
        <v>940168</v>
      </c>
      <c r="M1525" s="13">
        <v>456</v>
      </c>
      <c r="N1525" s="13">
        <v>11261</v>
      </c>
      <c r="O1525" s="19" t="s">
        <v>44</v>
      </c>
      <c r="P1525" s="6">
        <v>40992.839189814811</v>
      </c>
      <c r="Q1525" s="12"/>
      <c r="R1525" s="17" t="s">
        <v>965</v>
      </c>
      <c r="S1525" s="11" t="s">
        <v>966</v>
      </c>
      <c r="T1525" s="12"/>
      <c r="U1525" s="10" t="str">
        <f>HYPERLINK("https://pbs.twimg.com/profile_images/1016600645292511232/eYIkIK2s.jpg","View")</f>
        <v>View</v>
      </c>
    </row>
    <row r="1526" spans="1:21" ht="40.799999999999997">
      <c r="A1526" s="6">
        <v>43437.586192129631</v>
      </c>
      <c r="B1526" s="7" t="str">
        <f>HYPERLINK("https://twitter.com/conjotaype","@conjotaype")</f>
        <v>@conjotaype</v>
      </c>
      <c r="C1526" s="8" t="s">
        <v>5198</v>
      </c>
      <c r="D1526" s="9" t="s">
        <v>5199</v>
      </c>
      <c r="E1526" s="10" t="str">
        <f>HYPERLINK("https://twitter.com/conjotaype/status/1069578026185306112","1069578026185306112")</f>
        <v>1069578026185306112</v>
      </c>
      <c r="F1526" s="12"/>
      <c r="G1526" s="11" t="s">
        <v>5200</v>
      </c>
      <c r="H1526" s="12"/>
      <c r="I1526" s="13">
        <v>0</v>
      </c>
      <c r="J1526" s="13">
        <v>0</v>
      </c>
      <c r="K1526" s="14" t="str">
        <f t="shared" ref="K1526:K1529" si="272">HYPERLINK("http://twitter.com","Twitter Web Client")</f>
        <v>Twitter Web Client</v>
      </c>
      <c r="L1526" s="13">
        <v>7</v>
      </c>
      <c r="M1526" s="13">
        <v>107</v>
      </c>
      <c r="N1526" s="13">
        <v>0</v>
      </c>
      <c r="O1526" s="15"/>
      <c r="P1526" s="6">
        <v>42951.110312500001</v>
      </c>
      <c r="Q1526" s="16" t="s">
        <v>5201</v>
      </c>
      <c r="R1526" s="20"/>
      <c r="S1526" s="12"/>
      <c r="T1526" s="12"/>
      <c r="U1526" s="10" t="str">
        <f>HYPERLINK("https://pbs.twimg.com/profile_images/1069566021164511233/TmqZAJPz.jpg","View")</f>
        <v>View</v>
      </c>
    </row>
    <row r="1527" spans="1:21" ht="30.6">
      <c r="A1527" s="6">
        <v>43437.58592592593</v>
      </c>
      <c r="B1527" s="7" t="str">
        <f>HYPERLINK("https://twitter.com/anacabs","@anacabs")</f>
        <v>@anacabs</v>
      </c>
      <c r="C1527" s="8" t="s">
        <v>5202</v>
      </c>
      <c r="D1527" s="9" t="s">
        <v>5203</v>
      </c>
      <c r="E1527" s="10" t="str">
        <f>HYPERLINK("https://twitter.com/anacabs/status/1069577929271754753","1069577929271754753")</f>
        <v>1069577929271754753</v>
      </c>
      <c r="F1527" s="11" t="s">
        <v>5204</v>
      </c>
      <c r="G1527" s="12"/>
      <c r="H1527" s="12"/>
      <c r="I1527" s="13">
        <v>0</v>
      </c>
      <c r="J1527" s="13">
        <v>0</v>
      </c>
      <c r="K1527" s="14" t="str">
        <f t="shared" si="272"/>
        <v>Twitter Web Client</v>
      </c>
      <c r="L1527" s="13">
        <v>2193</v>
      </c>
      <c r="M1527" s="13">
        <v>1061</v>
      </c>
      <c r="N1527" s="13">
        <v>71</v>
      </c>
      <c r="O1527" s="15"/>
      <c r="P1527" s="6">
        <v>40138.901018518518</v>
      </c>
      <c r="Q1527" s="16" t="s">
        <v>5205</v>
      </c>
      <c r="R1527" s="17" t="s">
        <v>5206</v>
      </c>
      <c r="S1527" s="12"/>
      <c r="T1527" s="12"/>
      <c r="U1527" s="10" t="str">
        <f>HYPERLINK("https://pbs.twimg.com/profile_images/822468188030042113/AV3JwKrO.jpg","View")</f>
        <v>View</v>
      </c>
    </row>
    <row r="1528" spans="1:21" ht="20.399999999999999">
      <c r="A1528" s="6">
        <v>43437.585069444445</v>
      </c>
      <c r="B1528" s="7" t="str">
        <f>HYPERLINK("https://twitter.com/RCorindon","@RCorindon")</f>
        <v>@RCorindon</v>
      </c>
      <c r="C1528" s="8" t="s">
        <v>5207</v>
      </c>
      <c r="D1528" s="9" t="s">
        <v>5208</v>
      </c>
      <c r="E1528" s="10" t="str">
        <f>HYPERLINK("https://twitter.com/RCorindon/status/1069577615852351488","1069577615852351488")</f>
        <v>1069577615852351488</v>
      </c>
      <c r="F1528" s="12"/>
      <c r="G1528" s="12"/>
      <c r="H1528" s="12"/>
      <c r="I1528" s="13">
        <v>0</v>
      </c>
      <c r="J1528" s="13">
        <v>2</v>
      </c>
      <c r="K1528" s="14" t="str">
        <f t="shared" si="272"/>
        <v>Twitter Web Client</v>
      </c>
      <c r="L1528" s="13">
        <v>130</v>
      </c>
      <c r="M1528" s="13">
        <v>119</v>
      </c>
      <c r="N1528" s="13">
        <v>0</v>
      </c>
      <c r="O1528" s="15"/>
      <c r="P1528" s="6">
        <v>42099.958622685182</v>
      </c>
      <c r="Q1528" s="12"/>
      <c r="R1528" s="20"/>
      <c r="S1528" s="12"/>
      <c r="T1528" s="12"/>
      <c r="U1528" s="10" t="str">
        <f>HYPERLINK("https://pbs.twimg.com/profile_images/967395399161057280/NH5vulxk.jpg","View")</f>
        <v>View</v>
      </c>
    </row>
    <row r="1529" spans="1:21" ht="20.399999999999999">
      <c r="A1529" s="6">
        <v>43437.584016203706</v>
      </c>
      <c r="B1529" s="7" t="str">
        <f>HYPERLINK("https://twitter.com/MiguelMarques78","@MiguelMarques78")</f>
        <v>@MiguelMarques78</v>
      </c>
      <c r="C1529" s="8" t="s">
        <v>5209</v>
      </c>
      <c r="D1529" s="9" t="s">
        <v>5210</v>
      </c>
      <c r="E1529" s="10" t="str">
        <f>HYPERLINK("https://twitter.com/MiguelMarques78/status/1069577236360163329","1069577236360163329")</f>
        <v>1069577236360163329</v>
      </c>
      <c r="F1529" s="11" t="s">
        <v>4967</v>
      </c>
      <c r="G1529" s="12"/>
      <c r="H1529" s="12"/>
      <c r="I1529" s="13">
        <v>0</v>
      </c>
      <c r="J1529" s="13">
        <v>0</v>
      </c>
      <c r="K1529" s="14" t="str">
        <f t="shared" si="272"/>
        <v>Twitter Web Client</v>
      </c>
      <c r="L1529" s="13">
        <v>1176</v>
      </c>
      <c r="M1529" s="13">
        <v>949</v>
      </c>
      <c r="N1529" s="13">
        <v>94</v>
      </c>
      <c r="O1529" s="15"/>
      <c r="P1529" s="6">
        <v>40595.90561342593</v>
      </c>
      <c r="Q1529" s="16" t="s">
        <v>191</v>
      </c>
      <c r="R1529" s="17" t="s">
        <v>5211</v>
      </c>
      <c r="S1529" s="11" t="s">
        <v>5212</v>
      </c>
      <c r="T1529" s="12"/>
      <c r="U1529" s="10" t="str">
        <f>HYPERLINK("https://pbs.twimg.com/profile_images/963359212880498688/h5yuZMlU.jpg","View")</f>
        <v>View</v>
      </c>
    </row>
    <row r="1530" spans="1:21" ht="61.2">
      <c r="A1530" s="6">
        <v>43437.582268518519</v>
      </c>
      <c r="B1530" s="7" t="str">
        <f>HYPERLINK("https://twitter.com/Sr_Wolf___","@Sr_Wolf___")</f>
        <v>@Sr_Wolf___</v>
      </c>
      <c r="C1530" s="8" t="s">
        <v>5213</v>
      </c>
      <c r="D1530" s="9" t="s">
        <v>5214</v>
      </c>
      <c r="E1530" s="10" t="str">
        <f>HYPERLINK("https://twitter.com/Sr_Wolf___/status/1069576603347443713","1069576603347443713")</f>
        <v>1069576603347443713</v>
      </c>
      <c r="F1530" s="12"/>
      <c r="G1530" s="12"/>
      <c r="H1530" s="12"/>
      <c r="I1530" s="13">
        <v>0</v>
      </c>
      <c r="J1530" s="13">
        <v>0</v>
      </c>
      <c r="K1530" s="14" t="str">
        <f>HYPERLINK("http://twitter.com/download/android","Twitter for Android")</f>
        <v>Twitter for Android</v>
      </c>
      <c r="L1530" s="13">
        <v>9</v>
      </c>
      <c r="M1530" s="13">
        <v>15</v>
      </c>
      <c r="N1530" s="13">
        <v>0</v>
      </c>
      <c r="O1530" s="15"/>
      <c r="P1530" s="6">
        <v>43282.931342592594</v>
      </c>
      <c r="Q1530" s="16" t="s">
        <v>5215</v>
      </c>
      <c r="R1530" s="20"/>
      <c r="S1530" s="12"/>
      <c r="T1530" s="12"/>
      <c r="U1530" s="10" t="str">
        <f>HYPERLINK("https://pbs.twimg.com/profile_images/1013518710475296769/JF1Ihhqu.jpg","View")</f>
        <v>View</v>
      </c>
    </row>
    <row r="1531" spans="1:21" ht="20.399999999999999">
      <c r="A1531" s="6">
        <v>43437.582094907411</v>
      </c>
      <c r="B1531" s="7" t="str">
        <f>HYPERLINK("https://twitter.com/Arandiselo","@Arandiselo")</f>
        <v>@Arandiselo</v>
      </c>
      <c r="C1531" s="8" t="s">
        <v>5216</v>
      </c>
      <c r="D1531" s="9" t="s">
        <v>5217</v>
      </c>
      <c r="E1531" s="10" t="str">
        <f>HYPERLINK("https://twitter.com/Arandiselo/status/1069576539556204544","1069576539556204544")</f>
        <v>1069576539556204544</v>
      </c>
      <c r="F1531" s="12"/>
      <c r="G1531" s="12"/>
      <c r="H1531" s="12"/>
      <c r="I1531" s="13">
        <v>0</v>
      </c>
      <c r="J1531" s="13">
        <v>0</v>
      </c>
      <c r="K1531" s="14" t="str">
        <f t="shared" ref="K1531:K1532" si="273">HYPERLINK("http://twitter.com/download/iphone","Twitter for iPhone")</f>
        <v>Twitter for iPhone</v>
      </c>
      <c r="L1531" s="13">
        <v>5233</v>
      </c>
      <c r="M1531" s="13">
        <v>158</v>
      </c>
      <c r="N1531" s="13">
        <v>98</v>
      </c>
      <c r="O1531" s="15"/>
      <c r="P1531" s="6">
        <v>40567.600381944445</v>
      </c>
      <c r="Q1531" s="12"/>
      <c r="R1531" s="17" t="s">
        <v>5218</v>
      </c>
      <c r="S1531" s="12"/>
      <c r="T1531" s="12"/>
      <c r="U1531" s="10" t="str">
        <f>HYPERLINK("https://pbs.twimg.com/profile_images/1018173412420747264/sbakB63Q.jpg","View")</f>
        <v>View</v>
      </c>
    </row>
    <row r="1532" spans="1:21" ht="20.399999999999999">
      <c r="A1532" s="6">
        <v>43437.581793981481</v>
      </c>
      <c r="B1532" s="7" t="str">
        <f>HYPERLINK("https://twitter.com/vurielmercado","@vurielmercado")</f>
        <v>@vurielmercado</v>
      </c>
      <c r="C1532" s="8" t="s">
        <v>5219</v>
      </c>
      <c r="D1532" s="9" t="s">
        <v>5220</v>
      </c>
      <c r="E1532" s="10" t="str">
        <f>HYPERLINK("https://twitter.com/vurielmercado/status/1069576430693089283","1069576430693089283")</f>
        <v>1069576430693089283</v>
      </c>
      <c r="F1532" s="12"/>
      <c r="G1532" s="12"/>
      <c r="H1532" s="12"/>
      <c r="I1532" s="13">
        <v>0</v>
      </c>
      <c r="J1532" s="13">
        <v>0</v>
      </c>
      <c r="K1532" s="14" t="str">
        <f t="shared" si="273"/>
        <v>Twitter for iPhone</v>
      </c>
      <c r="L1532" s="13">
        <v>310</v>
      </c>
      <c r="M1532" s="13">
        <v>1859</v>
      </c>
      <c r="N1532" s="13">
        <v>6</v>
      </c>
      <c r="O1532" s="15"/>
      <c r="P1532" s="6">
        <v>40854.464502314819</v>
      </c>
      <c r="Q1532" s="12"/>
      <c r="R1532" s="17" t="s">
        <v>5221</v>
      </c>
      <c r="S1532" s="12"/>
      <c r="T1532" s="12"/>
      <c r="U1532" s="10" t="str">
        <f>HYPERLINK("https://pbs.twimg.com/profile_images/1040997598709116928/_Z5je_bn.jpg","View")</f>
        <v>View</v>
      </c>
    </row>
    <row r="1533" spans="1:21" ht="40.799999999999997">
      <c r="A1533" s="6">
        <v>43437.581412037034</v>
      </c>
      <c r="B1533" s="7" t="str">
        <f>HYPERLINK("https://twitter.com/JCespinosap","@JCespinosap")</f>
        <v>@JCespinosap</v>
      </c>
      <c r="C1533" s="8" t="s">
        <v>5051</v>
      </c>
      <c r="D1533" s="9" t="s">
        <v>5222</v>
      </c>
      <c r="E1533" s="10" t="str">
        <f>HYPERLINK("https://twitter.com/JCespinosap/status/1069576290817245184","1069576290817245184")</f>
        <v>1069576290817245184</v>
      </c>
      <c r="F1533" s="12"/>
      <c r="G1533" s="12"/>
      <c r="H1533" s="12"/>
      <c r="I1533" s="13">
        <v>0</v>
      </c>
      <c r="J1533" s="13">
        <v>0</v>
      </c>
      <c r="K1533" s="14" t="str">
        <f>HYPERLINK("http://twitter.com","Twitter Web Client")</f>
        <v>Twitter Web Client</v>
      </c>
      <c r="L1533" s="13">
        <v>689</v>
      </c>
      <c r="M1533" s="13">
        <v>2456</v>
      </c>
      <c r="N1533" s="13">
        <v>7</v>
      </c>
      <c r="O1533" s="15"/>
      <c r="P1533" s="6">
        <v>40202.908032407409</v>
      </c>
      <c r="Q1533" s="16" t="s">
        <v>109</v>
      </c>
      <c r="R1533" s="17" t="s">
        <v>5052</v>
      </c>
      <c r="S1533" s="11" t="s">
        <v>5053</v>
      </c>
      <c r="T1533" s="12"/>
      <c r="U1533" s="10" t="str">
        <f>HYPERLINK("https://pbs.twimg.com/profile_images/953657054903676928/1x1THIgv.jpg","View")</f>
        <v>View</v>
      </c>
    </row>
    <row r="1534" spans="1:21" ht="40.799999999999997">
      <c r="A1534" s="6">
        <v>43437.580729166672</v>
      </c>
      <c r="B1534" s="7" t="str">
        <f>HYPERLINK("https://twitter.com/abc_es","@abc_es")</f>
        <v>@abc_es</v>
      </c>
      <c r="C1534" s="21" t="s">
        <v>5223</v>
      </c>
      <c r="D1534" s="9" t="s">
        <v>5224</v>
      </c>
      <c r="E1534" s="10" t="str">
        <f>HYPERLINK("https://twitter.com/abc_es/status/1069576044133400576","1069576044133400576")</f>
        <v>1069576044133400576</v>
      </c>
      <c r="F1534" s="11" t="s">
        <v>5225</v>
      </c>
      <c r="G1534" s="12"/>
      <c r="H1534" s="12"/>
      <c r="I1534" s="13">
        <v>3</v>
      </c>
      <c r="J1534" s="13">
        <v>7</v>
      </c>
      <c r="K1534" s="14" t="str">
        <f>HYPERLINK("https://dogtrack.es","DogTrack ABC")</f>
        <v>DogTrack ABC</v>
      </c>
      <c r="L1534" s="13">
        <v>1610201</v>
      </c>
      <c r="M1534" s="13">
        <v>15511</v>
      </c>
      <c r="N1534" s="13">
        <v>17149</v>
      </c>
      <c r="O1534" s="19" t="s">
        <v>44</v>
      </c>
      <c r="P1534" s="6">
        <v>39846.840682870374</v>
      </c>
      <c r="Q1534" s="16" t="s">
        <v>48</v>
      </c>
      <c r="R1534" s="17" t="s">
        <v>5226</v>
      </c>
      <c r="S1534" s="11" t="s">
        <v>5190</v>
      </c>
      <c r="T1534" s="12"/>
      <c r="U1534" s="10" t="str">
        <f>HYPERLINK("https://pbs.twimg.com/profile_images/1053638435309842432/s75OnwdY.jpg","View")</f>
        <v>View</v>
      </c>
    </row>
    <row r="1535" spans="1:21" ht="81.599999999999994">
      <c r="A1535" s="6">
        <v>43437.580497685187</v>
      </c>
      <c r="B1535" s="7" t="str">
        <f>HYPERLINK("https://twitter.com/_RoberGarcia_","@_RoberGarcia_")</f>
        <v>@_RoberGarcia_</v>
      </c>
      <c r="C1535" s="8" t="s">
        <v>5227</v>
      </c>
      <c r="D1535" s="9" t="s">
        <v>5228</v>
      </c>
      <c r="E1535" s="10" t="str">
        <f>HYPERLINK("https://twitter.com/_RoberGarcia_/status/1069575960087937024","1069575960087937024")</f>
        <v>1069575960087937024</v>
      </c>
      <c r="F1535" s="11" t="s">
        <v>5229</v>
      </c>
      <c r="G1535" s="11" t="s">
        <v>5230</v>
      </c>
      <c r="H1535" s="12"/>
      <c r="I1535" s="13">
        <v>0</v>
      </c>
      <c r="J1535" s="13">
        <v>2</v>
      </c>
      <c r="K1535" s="14" t="str">
        <f t="shared" ref="K1535:K1536" si="274">HYPERLINK("http://twitter.com/download/android","Twitter for Android")</f>
        <v>Twitter for Android</v>
      </c>
      <c r="L1535" s="13">
        <v>507</v>
      </c>
      <c r="M1535" s="13">
        <v>688</v>
      </c>
      <c r="N1535" s="13">
        <v>4</v>
      </c>
      <c r="O1535" s="15"/>
      <c r="P1535" s="6">
        <v>41073.73501157407</v>
      </c>
      <c r="Q1535" s="16" t="s">
        <v>5231</v>
      </c>
      <c r="R1535" s="17" t="s">
        <v>5232</v>
      </c>
      <c r="S1535" s="12"/>
      <c r="T1535" s="12"/>
      <c r="U1535" s="10" t="str">
        <f>HYPERLINK("https://pbs.twimg.com/profile_images/1015197383775408128/hAmL8JtE.jpg","View")</f>
        <v>View</v>
      </c>
    </row>
    <row r="1536" spans="1:21" ht="51">
      <c r="A1536" s="6">
        <v>43437.577905092592</v>
      </c>
      <c r="B1536" s="7" t="str">
        <f>HYPERLINK("https://twitter.com/PabloAIglesias","@PabloAIglesias")</f>
        <v>@PabloAIglesias</v>
      </c>
      <c r="C1536" s="8" t="s">
        <v>5172</v>
      </c>
      <c r="D1536" s="9" t="s">
        <v>5233</v>
      </c>
      <c r="E1536" s="10" t="str">
        <f>HYPERLINK("https://twitter.com/PabloAIglesias/status/1069575022837198848","1069575022837198848")</f>
        <v>1069575022837198848</v>
      </c>
      <c r="F1536" s="12"/>
      <c r="G1536" s="11" t="s">
        <v>5234</v>
      </c>
      <c r="H1536" s="12"/>
      <c r="I1536" s="13">
        <v>1</v>
      </c>
      <c r="J1536" s="13">
        <v>0</v>
      </c>
      <c r="K1536" s="14" t="str">
        <f t="shared" si="274"/>
        <v>Twitter for Android</v>
      </c>
      <c r="L1536" s="13">
        <v>8010</v>
      </c>
      <c r="M1536" s="13">
        <v>2090</v>
      </c>
      <c r="N1536" s="13">
        <v>313</v>
      </c>
      <c r="O1536" s="15"/>
      <c r="P1536" s="6">
        <v>40609.909270833334</v>
      </c>
      <c r="Q1536" s="12"/>
      <c r="R1536" s="17" t="s">
        <v>5175</v>
      </c>
      <c r="S1536" s="11" t="s">
        <v>4048</v>
      </c>
      <c r="T1536" s="12"/>
      <c r="U1536" s="10" t="str">
        <f>HYPERLINK("https://pbs.twimg.com/profile_images/378800000429787056/935d8f984df5f963e05a3913976dc554.jpeg","View")</f>
        <v>View</v>
      </c>
    </row>
    <row r="1537" spans="1:21" ht="40.799999999999997">
      <c r="A1537" s="6">
        <v>43437.573252314818</v>
      </c>
      <c r="B1537" s="7" t="str">
        <f>HYPERLINK("https://twitter.com/JoaquinRamirez","@JoaquinRamirez")</f>
        <v>@JoaquinRamirez</v>
      </c>
      <c r="C1537" s="8" t="s">
        <v>5235</v>
      </c>
      <c r="D1537" s="9" t="s">
        <v>5236</v>
      </c>
      <c r="E1537" s="10" t="str">
        <f>HYPERLINK("https://twitter.com/JoaquinRamirez/status/1069573334998941696","1069573334998941696")</f>
        <v>1069573334998941696</v>
      </c>
      <c r="F1537" s="11" t="s">
        <v>5237</v>
      </c>
      <c r="G1537" s="12"/>
      <c r="H1537" s="12"/>
      <c r="I1537" s="13">
        <v>2</v>
      </c>
      <c r="J1537" s="13">
        <v>3</v>
      </c>
      <c r="K1537" s="14" t="str">
        <f>HYPERLINK("http://twitter.com/download/iphone","Twitter for iPhone")</f>
        <v>Twitter for iPhone</v>
      </c>
      <c r="L1537" s="13">
        <v>6291</v>
      </c>
      <c r="M1537" s="13">
        <v>5832</v>
      </c>
      <c r="N1537" s="13">
        <v>121</v>
      </c>
      <c r="O1537" s="19" t="s">
        <v>44</v>
      </c>
      <c r="P1537" s="6">
        <v>40299.112060185187</v>
      </c>
      <c r="Q1537" s="16" t="s">
        <v>5238</v>
      </c>
      <c r="R1537" s="17" t="s">
        <v>5239</v>
      </c>
      <c r="S1537" s="11" t="s">
        <v>5240</v>
      </c>
      <c r="T1537" s="12"/>
      <c r="U1537" s="10" t="str">
        <f>HYPERLINK("https://pbs.twimg.com/profile_images/993147155215978496/nhGXEkZM.jpg","View")</f>
        <v>View</v>
      </c>
    </row>
    <row r="1538" spans="1:21" ht="51">
      <c r="A1538" s="6">
        <v>43437.571736111116</v>
      </c>
      <c r="B1538" s="7" t="str">
        <f>HYPERLINK("https://twitter.com/masland50","@masland50")</f>
        <v>@masland50</v>
      </c>
      <c r="C1538" s="8" t="s">
        <v>5241</v>
      </c>
      <c r="D1538" s="9" t="s">
        <v>5242</v>
      </c>
      <c r="E1538" s="10" t="str">
        <f>HYPERLINK("https://twitter.com/masland50/status/1069572784853082112","1069572784853082112")</f>
        <v>1069572784853082112</v>
      </c>
      <c r="F1538" s="12"/>
      <c r="G1538" s="12"/>
      <c r="H1538" s="12"/>
      <c r="I1538" s="13">
        <v>0</v>
      </c>
      <c r="J1538" s="13">
        <v>0</v>
      </c>
      <c r="K1538" s="14" t="str">
        <f t="shared" ref="K1538:K1539" si="275">HYPERLINK("http://twitter.com/download/android","Twitter for Android")</f>
        <v>Twitter for Android</v>
      </c>
      <c r="L1538" s="13">
        <v>0</v>
      </c>
      <c r="M1538" s="13">
        <v>49</v>
      </c>
      <c r="N1538" s="13">
        <v>0</v>
      </c>
      <c r="O1538" s="15"/>
      <c r="P1538" s="6">
        <v>43393.710185185184</v>
      </c>
      <c r="Q1538" s="16" t="s">
        <v>5243</v>
      </c>
      <c r="R1538" s="20"/>
      <c r="S1538" s="12"/>
      <c r="T1538" s="12"/>
      <c r="U1538" s="19" t="s">
        <v>359</v>
      </c>
    </row>
    <row r="1539" spans="1:21" ht="51">
      <c r="A1539" s="6">
        <v>43437.570011574076</v>
      </c>
      <c r="B1539" s="7" t="str">
        <f>HYPERLINK("https://twitter.com/SirEktorDeLocks","@SirEktorDeLocks")</f>
        <v>@SirEktorDeLocks</v>
      </c>
      <c r="C1539" s="8" t="s">
        <v>5244</v>
      </c>
      <c r="D1539" s="9" t="s">
        <v>5245</v>
      </c>
      <c r="E1539" s="10" t="str">
        <f>HYPERLINK("https://twitter.com/SirEktorDeLocks/status/1069572159750717440","1069572159750717440")</f>
        <v>1069572159750717440</v>
      </c>
      <c r="F1539" s="12"/>
      <c r="G1539" s="12"/>
      <c r="H1539" s="12"/>
      <c r="I1539" s="13">
        <v>0</v>
      </c>
      <c r="J1539" s="13">
        <v>2</v>
      </c>
      <c r="K1539" s="14" t="str">
        <f t="shared" si="275"/>
        <v>Twitter for Android</v>
      </c>
      <c r="L1539" s="13">
        <v>120</v>
      </c>
      <c r="M1539" s="13">
        <v>216</v>
      </c>
      <c r="N1539" s="13">
        <v>0</v>
      </c>
      <c r="O1539" s="15"/>
      <c r="P1539" s="6">
        <v>41030.908020833333</v>
      </c>
      <c r="Q1539" s="16" t="s">
        <v>328</v>
      </c>
      <c r="R1539" s="17" t="s">
        <v>5246</v>
      </c>
      <c r="S1539" s="11" t="s">
        <v>5247</v>
      </c>
      <c r="T1539" s="12"/>
      <c r="U1539" s="10" t="str">
        <f>HYPERLINK("https://pbs.twimg.com/profile_images/1013540871306989568/y4bgyTyl.jpg","View")</f>
        <v>View</v>
      </c>
    </row>
    <row r="1540" spans="1:21" ht="20.399999999999999">
      <c r="A1540" s="6">
        <v>43437.569479166668</v>
      </c>
      <c r="B1540" s="7" t="str">
        <f>HYPERLINK("https://twitter.com/extralfred","@extralfred")</f>
        <v>@extralfred</v>
      </c>
      <c r="C1540" s="8" t="s">
        <v>5248</v>
      </c>
      <c r="D1540" s="9" t="s">
        <v>5249</v>
      </c>
      <c r="E1540" s="10" t="str">
        <f>HYPERLINK("https://twitter.com/extralfred/status/1069571968612139008","1069571968612139008")</f>
        <v>1069571968612139008</v>
      </c>
      <c r="F1540" s="12"/>
      <c r="G1540" s="12"/>
      <c r="H1540" s="12"/>
      <c r="I1540" s="13">
        <v>2</v>
      </c>
      <c r="J1540" s="13">
        <v>2</v>
      </c>
      <c r="K1540" s="14" t="str">
        <f>HYPERLINK("http://twitter.com","Twitter Web Client")</f>
        <v>Twitter Web Client</v>
      </c>
      <c r="L1540" s="13">
        <v>1941</v>
      </c>
      <c r="M1540" s="13">
        <v>1593</v>
      </c>
      <c r="N1540" s="13">
        <v>28</v>
      </c>
      <c r="O1540" s="15"/>
      <c r="P1540" s="6">
        <v>43241.843692129631</v>
      </c>
      <c r="Q1540" s="16" t="s">
        <v>5250</v>
      </c>
      <c r="R1540" s="17" t="s">
        <v>5251</v>
      </c>
      <c r="S1540" s="11" t="s">
        <v>5252</v>
      </c>
      <c r="T1540" s="12"/>
      <c r="U1540" s="10" t="str">
        <f>HYPERLINK("https://pbs.twimg.com/profile_images/1070482681346097152/7b8ak3wC.jpg","View")</f>
        <v>View</v>
      </c>
    </row>
    <row r="1541" spans="1:21" ht="40.799999999999997">
      <c r="A1541" s="6">
        <v>43437.569456018522</v>
      </c>
      <c r="B1541" s="7" t="str">
        <f>HYPERLINK("https://twitter.com/PAKITO7777","@PAKITO7777")</f>
        <v>@PAKITO7777</v>
      </c>
      <c r="C1541" s="8" t="s">
        <v>5253</v>
      </c>
      <c r="D1541" s="9" t="s">
        <v>5254</v>
      </c>
      <c r="E1541" s="10" t="str">
        <f>HYPERLINK("https://twitter.com/PAKITO7777/status/1069571961376960512","1069571961376960512")</f>
        <v>1069571961376960512</v>
      </c>
      <c r="F1541" s="12"/>
      <c r="G1541" s="12"/>
      <c r="H1541" s="12"/>
      <c r="I1541" s="13">
        <v>0</v>
      </c>
      <c r="J1541" s="13">
        <v>1</v>
      </c>
      <c r="K1541" s="14" t="str">
        <f>HYPERLINK("http://twitter.com/download/android","Twitter for Android")</f>
        <v>Twitter for Android</v>
      </c>
      <c r="L1541" s="13">
        <v>831</v>
      </c>
      <c r="M1541" s="13">
        <v>1322</v>
      </c>
      <c r="N1541" s="13">
        <v>10</v>
      </c>
      <c r="O1541" s="15"/>
      <c r="P1541" s="6">
        <v>40758.595266203702</v>
      </c>
      <c r="Q1541" s="16" t="s">
        <v>5255</v>
      </c>
      <c r="R1541" s="17" t="s">
        <v>5256</v>
      </c>
      <c r="S1541" s="12"/>
      <c r="T1541" s="12"/>
      <c r="U1541" s="10" t="str">
        <f>HYPERLINK("https://pbs.twimg.com/profile_images/1070755376784531462/z9Hvr9t7.jpg","View")</f>
        <v>View</v>
      </c>
    </row>
    <row r="1542" spans="1:21" ht="40.799999999999997">
      <c r="A1542" s="6">
        <v>43437.567442129628</v>
      </c>
      <c r="B1542" s="7" t="str">
        <f>HYPERLINK("https://twitter.com/JCespinosap","@JCespinosap")</f>
        <v>@JCespinosap</v>
      </c>
      <c r="C1542" s="8" t="s">
        <v>5051</v>
      </c>
      <c r="D1542" s="9" t="s">
        <v>5257</v>
      </c>
      <c r="E1542" s="10" t="str">
        <f>HYPERLINK("https://twitter.com/JCespinosap/status/1069571230175514626","1069571230175514626")</f>
        <v>1069571230175514626</v>
      </c>
      <c r="F1542" s="11" t="s">
        <v>5258</v>
      </c>
      <c r="G1542" s="12"/>
      <c r="H1542" s="12"/>
      <c r="I1542" s="13">
        <v>0</v>
      </c>
      <c r="J1542" s="13">
        <v>0</v>
      </c>
      <c r="K1542" s="14" t="str">
        <f t="shared" ref="K1542:K1547" si="276">HYPERLINK("http://twitter.com","Twitter Web Client")</f>
        <v>Twitter Web Client</v>
      </c>
      <c r="L1542" s="13">
        <v>689</v>
      </c>
      <c r="M1542" s="13">
        <v>2456</v>
      </c>
      <c r="N1542" s="13">
        <v>7</v>
      </c>
      <c r="O1542" s="15"/>
      <c r="P1542" s="6">
        <v>40202.908032407409</v>
      </c>
      <c r="Q1542" s="16" t="s">
        <v>109</v>
      </c>
      <c r="R1542" s="17" t="s">
        <v>5052</v>
      </c>
      <c r="S1542" s="11" t="s">
        <v>5053</v>
      </c>
      <c r="T1542" s="12"/>
      <c r="U1542" s="10" t="str">
        <f>HYPERLINK("https://pbs.twimg.com/profile_images/953657054903676928/1x1THIgv.jpg","View")</f>
        <v>View</v>
      </c>
    </row>
    <row r="1543" spans="1:21" ht="40.799999999999997">
      <c r="A1543" s="6">
        <v>43437.566875000004</v>
      </c>
      <c r="B1543" s="7" t="str">
        <f>HYPERLINK("https://twitter.com/victor_hurtado","@victor_hurtado")</f>
        <v>@victor_hurtado</v>
      </c>
      <c r="C1543" s="8" t="s">
        <v>462</v>
      </c>
      <c r="D1543" s="9" t="s">
        <v>5259</v>
      </c>
      <c r="E1543" s="10" t="str">
        <f>HYPERLINK("https://twitter.com/victor_hurtado/status/1069571023341801473","1069571023341801473")</f>
        <v>1069571023341801473</v>
      </c>
      <c r="F1543" s="12"/>
      <c r="G1543" s="12"/>
      <c r="H1543" s="12"/>
      <c r="I1543" s="13">
        <v>0</v>
      </c>
      <c r="J1543" s="13">
        <v>2</v>
      </c>
      <c r="K1543" s="14" t="str">
        <f t="shared" si="276"/>
        <v>Twitter Web Client</v>
      </c>
      <c r="L1543" s="13">
        <v>3253</v>
      </c>
      <c r="M1543" s="13">
        <v>4022</v>
      </c>
      <c r="N1543" s="13">
        <v>63</v>
      </c>
      <c r="O1543" s="15"/>
      <c r="P1543" s="6">
        <v>39879.0859375</v>
      </c>
      <c r="Q1543" s="16" t="s">
        <v>466</v>
      </c>
      <c r="R1543" s="17" t="s">
        <v>467</v>
      </c>
      <c r="S1543" s="11" t="s">
        <v>468</v>
      </c>
      <c r="T1543" s="12"/>
      <c r="U1543" s="10" t="str">
        <f>HYPERLINK("https://pbs.twimg.com/profile_images/1039975279660347392/bO9WsDmW.jpg","View")</f>
        <v>View</v>
      </c>
    </row>
    <row r="1544" spans="1:21" ht="20.399999999999999">
      <c r="A1544" s="6">
        <v>43437.56385416667</v>
      </c>
      <c r="B1544" s="7" t="str">
        <f>HYPERLINK("https://twitter.com/fermcginley","@fermcginley")</f>
        <v>@fermcginley</v>
      </c>
      <c r="C1544" s="8" t="s">
        <v>5260</v>
      </c>
      <c r="D1544" s="9" t="s">
        <v>5261</v>
      </c>
      <c r="E1544" s="10" t="str">
        <f>HYPERLINK("https://twitter.com/fermcginley/status/1069569928930430981","1069569928930430981")</f>
        <v>1069569928930430981</v>
      </c>
      <c r="F1544" s="12"/>
      <c r="G1544" s="12"/>
      <c r="H1544" s="12"/>
      <c r="I1544" s="13">
        <v>0</v>
      </c>
      <c r="J1544" s="13">
        <v>2</v>
      </c>
      <c r="K1544" s="14" t="str">
        <f t="shared" si="276"/>
        <v>Twitter Web Client</v>
      </c>
      <c r="L1544" s="13">
        <v>705</v>
      </c>
      <c r="M1544" s="13">
        <v>146</v>
      </c>
      <c r="N1544" s="13">
        <v>9</v>
      </c>
      <c r="O1544" s="15"/>
      <c r="P1544" s="6">
        <v>41067.749791666669</v>
      </c>
      <c r="Q1544" s="12"/>
      <c r="R1544" s="17" t="s">
        <v>5262</v>
      </c>
      <c r="S1544" s="12"/>
      <c r="T1544" s="12"/>
      <c r="U1544" s="10" t="str">
        <f>HYPERLINK("https://pbs.twimg.com/profile_images/1067599211032662022/FSLNOvtX.jpg","View")</f>
        <v>View</v>
      </c>
    </row>
    <row r="1545" spans="1:21" ht="20.399999999999999">
      <c r="A1545" s="6">
        <v>43437.562430555554</v>
      </c>
      <c r="B1545" s="7" t="str">
        <f>HYPERLINK("https://twitter.com/MartaLlanos97","@MartaLlanos97")</f>
        <v>@MartaLlanos97</v>
      </c>
      <c r="C1545" s="8" t="s">
        <v>5263</v>
      </c>
      <c r="D1545" s="9" t="s">
        <v>5264</v>
      </c>
      <c r="E1545" s="10" t="str">
        <f>HYPERLINK("https://twitter.com/MartaLlanos97/status/1069569415392477184","1069569415392477184")</f>
        <v>1069569415392477184</v>
      </c>
      <c r="F1545" s="12"/>
      <c r="G1545" s="12"/>
      <c r="H1545" s="12"/>
      <c r="I1545" s="13">
        <v>0</v>
      </c>
      <c r="J1545" s="13">
        <v>0</v>
      </c>
      <c r="K1545" s="14" t="str">
        <f t="shared" si="276"/>
        <v>Twitter Web Client</v>
      </c>
      <c r="L1545" s="13">
        <v>406</v>
      </c>
      <c r="M1545" s="13">
        <v>306</v>
      </c>
      <c r="N1545" s="13">
        <v>2</v>
      </c>
      <c r="O1545" s="15"/>
      <c r="P1545" s="6">
        <v>41156.946967592594</v>
      </c>
      <c r="Q1545" s="12"/>
      <c r="R1545" s="17" t="s">
        <v>5265</v>
      </c>
      <c r="S1545" s="11" t="s">
        <v>3105</v>
      </c>
      <c r="T1545" s="12"/>
      <c r="U1545" s="10" t="str">
        <f>HYPERLINK("https://pbs.twimg.com/profile_images/1016247056422309888/Y7CNimfq.jpg","View")</f>
        <v>View</v>
      </c>
    </row>
    <row r="1546" spans="1:21" ht="40.799999999999997">
      <c r="A1546" s="6">
        <v>43437.55868055555</v>
      </c>
      <c r="B1546" s="7" t="str">
        <f>HYPERLINK("https://twitter.com/Bernat_Castro","@Bernat_Castro")</f>
        <v>@Bernat_Castro</v>
      </c>
      <c r="C1546" s="8" t="s">
        <v>4210</v>
      </c>
      <c r="D1546" s="9" t="s">
        <v>5266</v>
      </c>
      <c r="E1546" s="10" t="str">
        <f>HYPERLINK("https://twitter.com/Bernat_Castro/status/1069568056324694016","1069568056324694016")</f>
        <v>1069568056324694016</v>
      </c>
      <c r="F1546" s="12"/>
      <c r="G1546" s="11" t="s">
        <v>5129</v>
      </c>
      <c r="H1546" s="12"/>
      <c r="I1546" s="13">
        <v>188</v>
      </c>
      <c r="J1546" s="13">
        <v>211</v>
      </c>
      <c r="K1546" s="14" t="str">
        <f t="shared" si="276"/>
        <v>Twitter Web Client</v>
      </c>
      <c r="L1546" s="13">
        <v>44372</v>
      </c>
      <c r="M1546" s="13">
        <v>3324</v>
      </c>
      <c r="N1546" s="13">
        <v>133</v>
      </c>
      <c r="O1546" s="15"/>
      <c r="P1546" s="6">
        <v>43201.593715277777</v>
      </c>
      <c r="Q1546" s="16" t="s">
        <v>4212</v>
      </c>
      <c r="R1546" s="17" t="s">
        <v>4213</v>
      </c>
      <c r="S1546" s="11" t="s">
        <v>4214</v>
      </c>
      <c r="T1546" s="12"/>
      <c r="U1546" s="10" t="str">
        <f>HYPERLINK("https://pbs.twimg.com/profile_images/1059802564957483009/Cm2t_qW0.jpg","View")</f>
        <v>View</v>
      </c>
    </row>
    <row r="1547" spans="1:21" ht="13.2">
      <c r="A1547" s="6">
        <v>43437.556863425925</v>
      </c>
      <c r="B1547" s="7" t="str">
        <f>HYPERLINK("https://twitter.com/jolusago31","@jolusago31")</f>
        <v>@jolusago31</v>
      </c>
      <c r="C1547" s="8" t="s">
        <v>5267</v>
      </c>
      <c r="D1547" s="9" t="s">
        <v>5268</v>
      </c>
      <c r="E1547" s="10" t="str">
        <f>HYPERLINK("https://twitter.com/jolusago31/status/1069567394325110785","1069567394325110785")</f>
        <v>1069567394325110785</v>
      </c>
      <c r="F1547" s="12"/>
      <c r="G1547" s="11" t="s">
        <v>5269</v>
      </c>
      <c r="H1547" s="12"/>
      <c r="I1547" s="13">
        <v>0</v>
      </c>
      <c r="J1547" s="13">
        <v>0</v>
      </c>
      <c r="K1547" s="14" t="str">
        <f t="shared" si="276"/>
        <v>Twitter Web Client</v>
      </c>
      <c r="L1547" s="13">
        <v>3</v>
      </c>
      <c r="M1547" s="13">
        <v>6</v>
      </c>
      <c r="N1547" s="13">
        <v>0</v>
      </c>
      <c r="O1547" s="15"/>
      <c r="P1547" s="6">
        <v>42851.553981481484</v>
      </c>
      <c r="Q1547" s="12"/>
      <c r="R1547" s="20"/>
      <c r="S1547" s="11" t="s">
        <v>5270</v>
      </c>
      <c r="T1547" s="12"/>
      <c r="U1547" s="10" t="str">
        <f>HYPERLINK("https://pbs.twimg.com/profile_images/914441083353956352/USHvk7z1.jpg","View")</f>
        <v>View</v>
      </c>
    </row>
    <row r="1548" spans="1:21" ht="30.6">
      <c r="A1548" s="6">
        <v>43437.55395833333</v>
      </c>
      <c r="B1548" s="7" t="str">
        <f>HYPERLINK("https://twitter.com/PedroPmotero","@PedroPmotero")</f>
        <v>@PedroPmotero</v>
      </c>
      <c r="C1548" s="8" t="s">
        <v>5271</v>
      </c>
      <c r="D1548" s="9" t="s">
        <v>4861</v>
      </c>
      <c r="E1548" s="10" t="str">
        <f>HYPERLINK("https://twitter.com/PedroPmotero/status/1069566342754418689","1069566342754418689")</f>
        <v>1069566342754418689</v>
      </c>
      <c r="F1548" s="11" t="s">
        <v>3698</v>
      </c>
      <c r="G1548" s="12"/>
      <c r="H1548" s="12"/>
      <c r="I1548" s="13">
        <v>0</v>
      </c>
      <c r="J1548" s="13">
        <v>1</v>
      </c>
      <c r="K1548" s="14" t="str">
        <f>HYPERLINK("http://twitter.com/#!/download/ipad","Twitter for iPad")</f>
        <v>Twitter for iPad</v>
      </c>
      <c r="L1548" s="13">
        <v>15433</v>
      </c>
      <c r="M1548" s="13">
        <v>10770</v>
      </c>
      <c r="N1548" s="13">
        <v>106</v>
      </c>
      <c r="O1548" s="15"/>
      <c r="P1548" s="6">
        <v>40949.399178240739</v>
      </c>
      <c r="Q1548" s="16" t="s">
        <v>5272</v>
      </c>
      <c r="R1548" s="17" t="s">
        <v>5273</v>
      </c>
      <c r="S1548" s="12"/>
      <c r="T1548" s="12"/>
      <c r="U1548" s="10" t="str">
        <f>HYPERLINK("https://pbs.twimg.com/profile_images/1060236053385220096/HHWME8I9.jpg","View")</f>
        <v>View</v>
      </c>
    </row>
    <row r="1549" spans="1:21" ht="30.6">
      <c r="A1549" s="6">
        <v>43437.553148148145</v>
      </c>
      <c r="B1549" s="7" t="str">
        <f>HYPERLINK("https://twitter.com/EFETV","@EFETV")</f>
        <v>@EFETV</v>
      </c>
      <c r="C1549" s="8" t="s">
        <v>5274</v>
      </c>
      <c r="D1549" s="9" t="s">
        <v>5275</v>
      </c>
      <c r="E1549" s="10" t="str">
        <f>HYPERLINK("https://twitter.com/EFETV/status/1069566048871964672","1069566048871964672")</f>
        <v>1069566048871964672</v>
      </c>
      <c r="F1549" s="11" t="s">
        <v>5276</v>
      </c>
      <c r="G1549" s="12"/>
      <c r="H1549" s="12"/>
      <c r="I1549" s="13">
        <v>0</v>
      </c>
      <c r="J1549" s="13">
        <v>0</v>
      </c>
      <c r="K1549" s="14" t="str">
        <f>HYPERLINK("https://periscope.tv","Periscope")</f>
        <v>Periscope</v>
      </c>
      <c r="L1549" s="13">
        <v>5136</v>
      </c>
      <c r="M1549" s="13">
        <v>72</v>
      </c>
      <c r="N1549" s="13">
        <v>143</v>
      </c>
      <c r="O1549" s="19" t="s">
        <v>44</v>
      </c>
      <c r="P1549" s="6">
        <v>41099.541388888887</v>
      </c>
      <c r="Q1549" s="16" t="s">
        <v>48</v>
      </c>
      <c r="R1549" s="17" t="s">
        <v>5277</v>
      </c>
      <c r="S1549" s="11" t="s">
        <v>5278</v>
      </c>
      <c r="T1549" s="12"/>
      <c r="U1549" s="10" t="str">
        <f>HYPERLINK("https://pbs.twimg.com/profile_images/930879449805000704/NWXA0CWf.jpg","View")</f>
        <v>View</v>
      </c>
    </row>
    <row r="1550" spans="1:21" ht="20.399999999999999">
      <c r="A1550" s="6">
        <v>43437.55269675926</v>
      </c>
      <c r="B1550" s="7" t="str">
        <f>HYPERLINK("https://twitter.com/daguicar1","@daguicar1")</f>
        <v>@daguicar1</v>
      </c>
      <c r="C1550" s="8" t="s">
        <v>5279</v>
      </c>
      <c r="D1550" s="9" t="s">
        <v>5280</v>
      </c>
      <c r="E1550" s="10" t="str">
        <f>HYPERLINK("https://twitter.com/daguicar1/status/1069565885034242049","1069565885034242049")</f>
        <v>1069565885034242049</v>
      </c>
      <c r="F1550" s="12"/>
      <c r="G1550" s="12"/>
      <c r="H1550" s="12"/>
      <c r="I1550" s="13">
        <v>0</v>
      </c>
      <c r="J1550" s="13">
        <v>0</v>
      </c>
      <c r="K1550" s="14" t="str">
        <f>HYPERLINK("https://mobile.twitter.com","Twitter Lite")</f>
        <v>Twitter Lite</v>
      </c>
      <c r="L1550" s="13">
        <v>147</v>
      </c>
      <c r="M1550" s="13">
        <v>272</v>
      </c>
      <c r="N1550" s="13">
        <v>23</v>
      </c>
      <c r="O1550" s="15"/>
      <c r="P1550" s="6">
        <v>41330.132280092592</v>
      </c>
      <c r="Q1550" s="12"/>
      <c r="R1550" s="20"/>
      <c r="S1550" s="12"/>
      <c r="T1550" s="12"/>
      <c r="U1550" s="10" t="str">
        <f>HYPERLINK("https://pbs.twimg.com/profile_images/830215129392435201/o-TZyBgG.jpg","View")</f>
        <v>View</v>
      </c>
    </row>
    <row r="1551" spans="1:21" ht="40.799999999999997">
      <c r="A1551" s="6">
        <v>43437.54215277778</v>
      </c>
      <c r="B1551" s="7" t="str">
        <f>HYPERLINK("https://twitter.com/bokeronmerengon","@bokeronmerengon")</f>
        <v>@bokeronmerengon</v>
      </c>
      <c r="C1551" s="8" t="s">
        <v>5281</v>
      </c>
      <c r="D1551" s="9" t="s">
        <v>5282</v>
      </c>
      <c r="E1551" s="10" t="str">
        <f>HYPERLINK("https://twitter.com/bokeronmerengon/status/1069562065680035840","1069562065680035840")</f>
        <v>1069562065680035840</v>
      </c>
      <c r="F1551" s="12"/>
      <c r="G1551" s="12"/>
      <c r="H1551" s="12"/>
      <c r="I1551" s="13">
        <v>0</v>
      </c>
      <c r="J1551" s="13">
        <v>0</v>
      </c>
      <c r="K1551" s="14" t="str">
        <f>HYPERLINK("http://twitter.com/download/iphone","Twitter for iPhone")</f>
        <v>Twitter for iPhone</v>
      </c>
      <c r="L1551" s="13">
        <v>106</v>
      </c>
      <c r="M1551" s="13">
        <v>195</v>
      </c>
      <c r="N1551" s="13">
        <v>2</v>
      </c>
      <c r="O1551" s="15"/>
      <c r="P1551" s="6">
        <v>42754.44462962963</v>
      </c>
      <c r="Q1551" s="16" t="s">
        <v>5283</v>
      </c>
      <c r="R1551" s="17" t="s">
        <v>5284</v>
      </c>
      <c r="S1551" s="12"/>
      <c r="T1551" s="12"/>
      <c r="U1551" s="10" t="str">
        <f>HYPERLINK("https://pbs.twimg.com/profile_images/1025431609292607491/qQMUf_kr.jpg","View")</f>
        <v>View</v>
      </c>
    </row>
    <row r="1552" spans="1:21" ht="51">
      <c r="A1552" s="6">
        <v>43437.536030092597</v>
      </c>
      <c r="B1552" s="7" t="str">
        <f>HYPERLINK("https://twitter.com/TatoAtienza","@TatoAtienza")</f>
        <v>@TatoAtienza</v>
      </c>
      <c r="C1552" s="8" t="s">
        <v>5285</v>
      </c>
      <c r="D1552" s="9" t="s">
        <v>5286</v>
      </c>
      <c r="E1552" s="10" t="str">
        <f>HYPERLINK("https://twitter.com/TatoAtienza/status/1069559848101208064","1069559848101208064")</f>
        <v>1069559848101208064</v>
      </c>
      <c r="F1552" s="12"/>
      <c r="G1552" s="11" t="s">
        <v>5287</v>
      </c>
      <c r="H1552" s="12"/>
      <c r="I1552" s="13">
        <v>0</v>
      </c>
      <c r="J1552" s="13">
        <v>0</v>
      </c>
      <c r="K1552" s="14" t="str">
        <f>HYPERLINK("http://twitter.com","Twitter Web Client")</f>
        <v>Twitter Web Client</v>
      </c>
      <c r="L1552" s="13">
        <v>136</v>
      </c>
      <c r="M1552" s="13">
        <v>267</v>
      </c>
      <c r="N1552" s="13">
        <v>1</v>
      </c>
      <c r="O1552" s="15"/>
      <c r="P1552" s="6">
        <v>40693.590011574073</v>
      </c>
      <c r="Q1552" s="16" t="s">
        <v>48</v>
      </c>
      <c r="R1552" s="17" t="s">
        <v>5289</v>
      </c>
      <c r="S1552" s="12"/>
      <c r="T1552" s="12"/>
      <c r="U1552" s="10" t="str">
        <f>HYPERLINK("https://pbs.twimg.com/profile_images/1375023995/101-2.jpg","View")</f>
        <v>View</v>
      </c>
    </row>
    <row r="1553" spans="1:21" ht="30.6">
      <c r="A1553" s="6">
        <v>43437.535937499997</v>
      </c>
      <c r="B1553" s="7" t="str">
        <f>HYPERLINK("https://twitter.com/CabreraTechiCF","@CabreraTechiCF")</f>
        <v>@CabreraTechiCF</v>
      </c>
      <c r="C1553" s="8" t="s">
        <v>5291</v>
      </c>
      <c r="D1553" s="9" t="s">
        <v>5292</v>
      </c>
      <c r="E1553" s="10" t="str">
        <f>HYPERLINK("https://twitter.com/CabreraTechiCF/status/1069559814697771008","1069559814697771008")</f>
        <v>1069559814697771008</v>
      </c>
      <c r="F1553" s="12"/>
      <c r="G1553" s="12"/>
      <c r="H1553" s="12"/>
      <c r="I1553" s="13">
        <v>0</v>
      </c>
      <c r="J1553" s="13">
        <v>0</v>
      </c>
      <c r="K1553" s="14" t="str">
        <f>HYPERLINK("http://twitter.com/download/android","Twitter for Android")</f>
        <v>Twitter for Android</v>
      </c>
      <c r="L1553" s="13">
        <v>184</v>
      </c>
      <c r="M1553" s="13">
        <v>72</v>
      </c>
      <c r="N1553" s="13">
        <v>0</v>
      </c>
      <c r="O1553" s="15"/>
      <c r="P1553" s="6">
        <v>43378.818495370375</v>
      </c>
      <c r="Q1553" s="16" t="s">
        <v>5293</v>
      </c>
      <c r="R1553" s="17" t="s">
        <v>5294</v>
      </c>
      <c r="S1553" s="11" t="s">
        <v>5295</v>
      </c>
      <c r="T1553" s="12"/>
      <c r="U1553" s="10" t="str">
        <f>HYPERLINK("https://pbs.twimg.com/profile_images/1067835677499375617/FUfDTCcV.jpg","View")</f>
        <v>View</v>
      </c>
    </row>
    <row r="1554" spans="1:21" ht="40.799999999999997">
      <c r="A1554" s="6">
        <v>43437.53528935185</v>
      </c>
      <c r="B1554" s="7" t="str">
        <f>HYPERLINK("https://twitter.com/VeoInfo_","@VeoInfo_")</f>
        <v>@VeoInfo_</v>
      </c>
      <c r="C1554" s="8" t="s">
        <v>2007</v>
      </c>
      <c r="D1554" s="9" t="s">
        <v>5275</v>
      </c>
      <c r="E1554" s="10" t="str">
        <f>HYPERLINK("https://twitter.com/VeoInfo_/status/1069559576197046272","1069559576197046272")</f>
        <v>1069559576197046272</v>
      </c>
      <c r="F1554" s="16" t="s">
        <v>5296</v>
      </c>
      <c r="G1554" s="12"/>
      <c r="H1554" s="12"/>
      <c r="I1554" s="13">
        <v>0</v>
      </c>
      <c r="J1554" s="13">
        <v>0</v>
      </c>
      <c r="K1554" s="14" t="str">
        <f>HYPERLINK("http://publicize.wp.com/","WordPress.com")</f>
        <v>WordPress.com</v>
      </c>
      <c r="L1554" s="13">
        <v>1135</v>
      </c>
      <c r="M1554" s="13">
        <v>1139</v>
      </c>
      <c r="N1554" s="13">
        <v>37</v>
      </c>
      <c r="O1554" s="15"/>
      <c r="P1554" s="6">
        <v>41881.101840277777</v>
      </c>
      <c r="Q1554" s="16" t="s">
        <v>2011</v>
      </c>
      <c r="R1554" s="17" t="s">
        <v>2012</v>
      </c>
      <c r="S1554" s="11" t="s">
        <v>2013</v>
      </c>
      <c r="T1554" s="12"/>
      <c r="U1554" s="10" t="str">
        <f>HYPERLINK("https://pbs.twimg.com/profile_images/601509372305485827/Val0dfGy.png","View")</f>
        <v>View</v>
      </c>
    </row>
    <row r="1555" spans="1:21" ht="20.399999999999999">
      <c r="A1555" s="6">
        <v>43437.533113425925</v>
      </c>
      <c r="B1555" s="7" t="str">
        <f>HYPERLINK("https://twitter.com/uu_curry","@uu_curry")</f>
        <v>@uu_curry</v>
      </c>
      <c r="C1555" s="8" t="s">
        <v>5297</v>
      </c>
      <c r="D1555" s="9" t="s">
        <v>5298</v>
      </c>
      <c r="E1555" s="10" t="str">
        <f>HYPERLINK("https://twitter.com/uu_curry/status/1069558789488197632","1069558789488197632")</f>
        <v>1069558789488197632</v>
      </c>
      <c r="F1555" s="12"/>
      <c r="G1555" s="12"/>
      <c r="H1555" s="12"/>
      <c r="I1555" s="13">
        <v>0</v>
      </c>
      <c r="J1555" s="13">
        <v>2</v>
      </c>
      <c r="K1555" s="14" t="str">
        <f>HYPERLINK("http://twitter.com","Twitter Web Client")</f>
        <v>Twitter Web Client</v>
      </c>
      <c r="L1555" s="13">
        <v>106</v>
      </c>
      <c r="M1555" s="13">
        <v>131</v>
      </c>
      <c r="N1555" s="13">
        <v>0</v>
      </c>
      <c r="O1555" s="15"/>
      <c r="P1555" s="6">
        <v>43431.636249999996</v>
      </c>
      <c r="Q1555" s="16" t="s">
        <v>86</v>
      </c>
      <c r="R1555" s="17" t="s">
        <v>5299</v>
      </c>
      <c r="S1555" s="12"/>
      <c r="T1555" s="12"/>
      <c r="U1555" s="10" t="str">
        <f>HYPERLINK("https://pbs.twimg.com/profile_images/1067422591470759937/QCDLlCRi.jpg","View")</f>
        <v>View</v>
      </c>
    </row>
    <row r="1556" spans="1:21" ht="40.799999999999997">
      <c r="A1556" s="6">
        <v>43437.532696759255</v>
      </c>
      <c r="B1556" s="7" t="str">
        <f>HYPERLINK("https://twitter.com/Herrero1946Jose","@Herrero1946Jose")</f>
        <v>@Herrero1946Jose</v>
      </c>
      <c r="C1556" s="8" t="s">
        <v>5300</v>
      </c>
      <c r="D1556" s="9" t="s">
        <v>5301</v>
      </c>
      <c r="E1556" s="10" t="str">
        <f>HYPERLINK("https://twitter.com/Herrero1946Jose/status/1069558636819681280","1069558636819681280")</f>
        <v>1069558636819681280</v>
      </c>
      <c r="F1556" s="12"/>
      <c r="G1556" s="11" t="s">
        <v>5302</v>
      </c>
      <c r="H1556" s="12"/>
      <c r="I1556" s="13">
        <v>1</v>
      </c>
      <c r="J1556" s="13">
        <v>0</v>
      </c>
      <c r="K1556" s="14" t="str">
        <f t="shared" ref="K1556:K1557" si="277">HYPERLINK("http://twitter.com/download/android","Twitter for Android")</f>
        <v>Twitter for Android</v>
      </c>
      <c r="L1556" s="13">
        <v>1575</v>
      </c>
      <c r="M1556" s="13">
        <v>1565</v>
      </c>
      <c r="N1556" s="13">
        <v>14</v>
      </c>
      <c r="O1556" s="15"/>
      <c r="P1556" s="6">
        <v>41692.788263888891</v>
      </c>
      <c r="Q1556" s="16" t="s">
        <v>5303</v>
      </c>
      <c r="R1556" s="17" t="s">
        <v>5304</v>
      </c>
      <c r="S1556" s="12"/>
      <c r="T1556" s="12"/>
      <c r="U1556" s="10" t="str">
        <f>HYPERLINK("https://pbs.twimg.com/profile_images/660217709758701568/G2Wjj43D.jpg","View")</f>
        <v>View</v>
      </c>
    </row>
    <row r="1557" spans="1:21" ht="30.6">
      <c r="A1557" s="6">
        <v>43437.528923611113</v>
      </c>
      <c r="B1557" s="7" t="str">
        <f>HYPERLINK("https://twitter.com/karlosfy","@karlosfy")</f>
        <v>@karlosfy</v>
      </c>
      <c r="C1557" s="8" t="s">
        <v>5305</v>
      </c>
      <c r="D1557" s="9" t="s">
        <v>5306</v>
      </c>
      <c r="E1557" s="10" t="str">
        <f>HYPERLINK("https://twitter.com/karlosfy/status/1069557271737364481","1069557271737364481")</f>
        <v>1069557271737364481</v>
      </c>
      <c r="F1557" s="12"/>
      <c r="G1557" s="12"/>
      <c r="H1557" s="12"/>
      <c r="I1557" s="13">
        <v>0</v>
      </c>
      <c r="J1557" s="13">
        <v>0</v>
      </c>
      <c r="K1557" s="14" t="str">
        <f t="shared" si="277"/>
        <v>Twitter for Android</v>
      </c>
      <c r="L1557" s="13">
        <v>177</v>
      </c>
      <c r="M1557" s="13">
        <v>204</v>
      </c>
      <c r="N1557" s="13">
        <v>3</v>
      </c>
      <c r="O1557" s="15"/>
      <c r="P1557" s="6">
        <v>40938.762152777781</v>
      </c>
      <c r="Q1557" s="12"/>
      <c r="R1557" s="17" t="s">
        <v>5307</v>
      </c>
      <c r="S1557" s="12"/>
      <c r="T1557" s="12"/>
      <c r="U1557" s="10" t="str">
        <f>HYPERLINK("https://pbs.twimg.com/profile_images/516318269980962816/PIrlPTXW.jpeg","View")</f>
        <v>View</v>
      </c>
    </row>
    <row r="1558" spans="1:21" ht="40.799999999999997">
      <c r="A1558" s="6">
        <v>43437.525868055556</v>
      </c>
      <c r="B1558" s="7" t="str">
        <f>HYPERLINK("https://twitter.com/mjguemes","@mjguemes")</f>
        <v>@mjguemes</v>
      </c>
      <c r="C1558" s="8" t="s">
        <v>5308</v>
      </c>
      <c r="D1558" s="9" t="s">
        <v>5309</v>
      </c>
      <c r="E1558" s="10" t="str">
        <f>HYPERLINK("https://twitter.com/mjguemes/status/1069556161777680384","1069556161777680384")</f>
        <v>1069556161777680384</v>
      </c>
      <c r="F1558" s="12"/>
      <c r="G1558" s="12"/>
      <c r="H1558" s="12"/>
      <c r="I1558" s="13">
        <v>5</v>
      </c>
      <c r="J1558" s="13">
        <v>31</v>
      </c>
      <c r="K1558" s="14" t="str">
        <f>HYPERLINK("http://twitter.com/#!/download/ipad","Twitter for iPad")</f>
        <v>Twitter for iPad</v>
      </c>
      <c r="L1558" s="13">
        <v>13442</v>
      </c>
      <c r="M1558" s="13">
        <v>1055</v>
      </c>
      <c r="N1558" s="13">
        <v>336</v>
      </c>
      <c r="O1558" s="15"/>
      <c r="P1558" s="6">
        <v>39955.47038194444</v>
      </c>
      <c r="Q1558" s="16" t="s">
        <v>191</v>
      </c>
      <c r="R1558" s="17" t="s">
        <v>5310</v>
      </c>
      <c r="S1558" s="11" t="s">
        <v>5311</v>
      </c>
      <c r="T1558" s="12"/>
      <c r="U1558" s="10" t="str">
        <f>HYPERLINK("https://pbs.twimg.com/profile_images/1002949704508985344/MOE-qpOJ.jpg","View")</f>
        <v>View</v>
      </c>
    </row>
    <row r="1559" spans="1:21" ht="40.799999999999997">
      <c r="A1559" s="6">
        <v>43437.522453703699</v>
      </c>
      <c r="B1559" s="7" t="str">
        <f>HYPERLINK("https://twitter.com/OzpinTargaryen","@OzpinTargaryen")</f>
        <v>@OzpinTargaryen</v>
      </c>
      <c r="C1559" s="8" t="s">
        <v>5312</v>
      </c>
      <c r="D1559" s="9" t="s">
        <v>5313</v>
      </c>
      <c r="E1559" s="10" t="str">
        <f>HYPERLINK("https://twitter.com/OzpinTargaryen/status/1069554926387380226","1069554926387380226")</f>
        <v>1069554926387380226</v>
      </c>
      <c r="F1559" s="16" t="s">
        <v>5314</v>
      </c>
      <c r="G1559" s="11" t="s">
        <v>5315</v>
      </c>
      <c r="H1559" s="12"/>
      <c r="I1559" s="13">
        <v>0</v>
      </c>
      <c r="J1559" s="13">
        <v>1</v>
      </c>
      <c r="K1559" s="14" t="str">
        <f>HYPERLINK("http://twitter.com/download/android","Twitter for Android")</f>
        <v>Twitter for Android</v>
      </c>
      <c r="L1559" s="13">
        <v>2242</v>
      </c>
      <c r="M1559" s="13">
        <v>2510</v>
      </c>
      <c r="N1559" s="13">
        <v>24</v>
      </c>
      <c r="O1559" s="15"/>
      <c r="P1559" s="6">
        <v>40456.80568287037</v>
      </c>
      <c r="Q1559" s="16" t="s">
        <v>5316</v>
      </c>
      <c r="R1559" s="17" t="s">
        <v>5317</v>
      </c>
      <c r="S1559" s="11" t="s">
        <v>5318</v>
      </c>
      <c r="T1559" s="12"/>
      <c r="U1559" s="10" t="str">
        <f>HYPERLINK("https://pbs.twimg.com/profile_images/1039187061167804417/Y6rw6v4F.jpg","View")</f>
        <v>View</v>
      </c>
    </row>
    <row r="1560" spans="1:21" ht="40.799999999999997">
      <c r="A1560" s="6">
        <v>43437.520833333328</v>
      </c>
      <c r="B1560" s="7" t="str">
        <f>HYPERLINK("https://twitter.com/El_Plural","@El_Plural")</f>
        <v>@El_Plural</v>
      </c>
      <c r="C1560" s="8" t="s">
        <v>507</v>
      </c>
      <c r="D1560" s="9" t="s">
        <v>5319</v>
      </c>
      <c r="E1560" s="10" t="str">
        <f>HYPERLINK("https://twitter.com/El_Plural/status/1069554339625095169","1069554339625095169")</f>
        <v>1069554339625095169</v>
      </c>
      <c r="F1560" s="11" t="s">
        <v>3698</v>
      </c>
      <c r="G1560" s="12"/>
      <c r="H1560" s="12"/>
      <c r="I1560" s="13">
        <v>5</v>
      </c>
      <c r="J1560" s="13">
        <v>7</v>
      </c>
      <c r="K1560" s="14" t="str">
        <f>HYPERLINK("https://about.twitter.com/products/tweetdeck","TweetDeck")</f>
        <v>TweetDeck</v>
      </c>
      <c r="L1560" s="13">
        <v>72031</v>
      </c>
      <c r="M1560" s="13">
        <v>1650</v>
      </c>
      <c r="N1560" s="13">
        <v>2018</v>
      </c>
      <c r="O1560" s="15"/>
      <c r="P1560" s="6">
        <v>40351.51053240741</v>
      </c>
      <c r="Q1560" s="16" t="s">
        <v>48</v>
      </c>
      <c r="R1560" s="17" t="s">
        <v>510</v>
      </c>
      <c r="S1560" s="11" t="s">
        <v>511</v>
      </c>
      <c r="T1560" s="12"/>
      <c r="U1560" s="10" t="str">
        <f>HYPERLINK("https://pbs.twimg.com/profile_images/1017707018138857473/kUt8X2tn.jpg","View")</f>
        <v>View</v>
      </c>
    </row>
    <row r="1561" spans="1:21" ht="30.6">
      <c r="A1561" s="6">
        <v>43437.520567129628</v>
      </c>
      <c r="B1561" s="7" t="str">
        <f>HYPERLINK("https://twitter.com/pacohortado","@pacohortado")</f>
        <v>@pacohortado</v>
      </c>
      <c r="C1561" s="8" t="s">
        <v>3058</v>
      </c>
      <c r="D1561" s="9" t="s">
        <v>5320</v>
      </c>
      <c r="E1561" s="10" t="str">
        <f>HYPERLINK("https://twitter.com/pacohortado/status/1069554242048929792","1069554242048929792")</f>
        <v>1069554242048929792</v>
      </c>
      <c r="F1561" s="12"/>
      <c r="G1561" s="12"/>
      <c r="H1561" s="12"/>
      <c r="I1561" s="13">
        <v>1</v>
      </c>
      <c r="J1561" s="13">
        <v>1</v>
      </c>
      <c r="K1561" s="14" t="str">
        <f>HYPERLINK("http://twitter.com","Twitter Web Client")</f>
        <v>Twitter Web Client</v>
      </c>
      <c r="L1561" s="13">
        <v>2502</v>
      </c>
      <c r="M1561" s="13">
        <v>1922</v>
      </c>
      <c r="N1561" s="13">
        <v>49</v>
      </c>
      <c r="O1561" s="15"/>
      <c r="P1561" s="6">
        <v>40957.884305555555</v>
      </c>
      <c r="Q1561" s="12"/>
      <c r="R1561" s="17" t="s">
        <v>3061</v>
      </c>
      <c r="S1561" s="12"/>
      <c r="T1561" s="12"/>
      <c r="U1561" s="10" t="str">
        <f>HYPERLINK("https://pbs.twimg.com/profile_images/614868273948180480/ByNs7DtV.png","View")</f>
        <v>View</v>
      </c>
    </row>
    <row r="1562" spans="1:21" ht="20.399999999999999">
      <c r="A1562" s="6">
        <v>43437.517893518518</v>
      </c>
      <c r="B1562" s="7" t="str">
        <f>HYPERLINK("https://twitter.com/Elisa_Pulgar","@Elisa_Pulgar")</f>
        <v>@Elisa_Pulgar</v>
      </c>
      <c r="C1562" s="8" t="s">
        <v>3224</v>
      </c>
      <c r="D1562" s="9" t="s">
        <v>5321</v>
      </c>
      <c r="E1562" s="10" t="str">
        <f>HYPERLINK("https://twitter.com/Elisa_Pulgar/status/1069553273621934083","1069553273621934083")</f>
        <v>1069553273621934083</v>
      </c>
      <c r="F1562" s="11" t="s">
        <v>5081</v>
      </c>
      <c r="G1562" s="12"/>
      <c r="H1562" s="12"/>
      <c r="I1562" s="13">
        <v>0</v>
      </c>
      <c r="J1562" s="13">
        <v>0</v>
      </c>
      <c r="K1562" s="14" t="str">
        <f>HYPERLINK("http://twitter.com/download/iphone","Twitter for iPhone")</f>
        <v>Twitter for iPhone</v>
      </c>
      <c r="L1562" s="13">
        <v>1047</v>
      </c>
      <c r="M1562" s="13">
        <v>1459</v>
      </c>
      <c r="N1562" s="13">
        <v>16</v>
      </c>
      <c r="O1562" s="15"/>
      <c r="P1562" s="6">
        <v>41138.026261574072</v>
      </c>
      <c r="Q1562" s="16" t="s">
        <v>3225</v>
      </c>
      <c r="R1562" s="17" t="s">
        <v>3226</v>
      </c>
      <c r="S1562" s="12"/>
      <c r="T1562" s="12"/>
      <c r="U1562" s="10" t="str">
        <f>HYPERLINK("https://pbs.twimg.com/profile_images/936295893099270145/oytpTy2C.jpg","View")</f>
        <v>View</v>
      </c>
    </row>
    <row r="1563" spans="1:21" ht="51">
      <c r="A1563" s="6">
        <v>43437.513958333337</v>
      </c>
      <c r="B1563" s="7" t="str">
        <f>HYPERLINK("https://twitter.com/verne","@verne")</f>
        <v>@verne</v>
      </c>
      <c r="C1563" s="8" t="s">
        <v>4584</v>
      </c>
      <c r="D1563" s="9" t="s">
        <v>4585</v>
      </c>
      <c r="E1563" s="10" t="str">
        <f>HYPERLINK("https://twitter.com/verne/status/1069551846635782144","1069551846635782144")</f>
        <v>1069551846635782144</v>
      </c>
      <c r="F1563" s="11" t="s">
        <v>5323</v>
      </c>
      <c r="G1563" s="12"/>
      <c r="H1563" s="12"/>
      <c r="I1563" s="13">
        <v>69</v>
      </c>
      <c r="J1563" s="13">
        <v>68</v>
      </c>
      <c r="K1563" s="14" t="str">
        <f>HYPERLINK("https://www.hootsuite.com","Hootsuite Inc.")</f>
        <v>Hootsuite Inc.</v>
      </c>
      <c r="L1563" s="13">
        <v>89581</v>
      </c>
      <c r="M1563" s="13">
        <v>182</v>
      </c>
      <c r="N1563" s="13">
        <v>1273</v>
      </c>
      <c r="O1563" s="19" t="s">
        <v>44</v>
      </c>
      <c r="P1563" s="6">
        <v>39848.868761574078</v>
      </c>
      <c r="Q1563" s="12"/>
      <c r="R1563" s="17" t="s">
        <v>4587</v>
      </c>
      <c r="S1563" s="11" t="s">
        <v>4588</v>
      </c>
      <c r="T1563" s="12"/>
      <c r="U1563" s="10" t="str">
        <f>HYPERLINK("https://pbs.twimg.com/profile_images/1017072845690687488/_7ptiBSP.jpg","View")</f>
        <v>View</v>
      </c>
    </row>
    <row r="1564" spans="1:21" ht="30.6">
      <c r="A1564" s="6">
        <v>43437.511608796296</v>
      </c>
      <c r="B1564" s="7" t="str">
        <f>HYPERLINK("https://twitter.com/mariano9605","@mariano9605")</f>
        <v>@mariano9605</v>
      </c>
      <c r="C1564" s="8" t="s">
        <v>843</v>
      </c>
      <c r="D1564" s="9" t="s">
        <v>5324</v>
      </c>
      <c r="E1564" s="10" t="str">
        <f>HYPERLINK("https://twitter.com/mariano9605/status/1069550995401789440","1069550995401789440")</f>
        <v>1069550995401789440</v>
      </c>
      <c r="F1564" s="11" t="s">
        <v>3698</v>
      </c>
      <c r="G1564" s="12"/>
      <c r="H1564" s="12"/>
      <c r="I1564" s="13">
        <v>24</v>
      </c>
      <c r="J1564" s="13">
        <v>11</v>
      </c>
      <c r="K1564" s="14" t="str">
        <f t="shared" ref="K1564:K1567" si="278">HYPERLINK("http://twitter.com","Twitter Web Client")</f>
        <v>Twitter Web Client</v>
      </c>
      <c r="L1564" s="13">
        <v>56286</v>
      </c>
      <c r="M1564" s="13">
        <v>54122</v>
      </c>
      <c r="N1564" s="13">
        <v>303</v>
      </c>
      <c r="O1564" s="15"/>
      <c r="P1564" s="6">
        <v>40869.915659722225</v>
      </c>
      <c r="Q1564" s="16" t="s">
        <v>845</v>
      </c>
      <c r="R1564" s="17" t="s">
        <v>846</v>
      </c>
      <c r="S1564" s="12"/>
      <c r="T1564" s="12"/>
      <c r="U1564" s="10" t="str">
        <f>HYPERLINK("https://pbs.twimg.com/profile_images/427860629525757952/ohW7e5Pf.jpeg","View")</f>
        <v>View</v>
      </c>
    </row>
    <row r="1565" spans="1:21" ht="40.799999999999997">
      <c r="A1565" s="6">
        <v>43437.510578703703</v>
      </c>
      <c r="B1565" s="7" t="str">
        <f>HYPERLINK("https://twitter.com/adrianwae","@adrianwae")</f>
        <v>@adrianwae</v>
      </c>
      <c r="C1565" s="8" t="s">
        <v>5325</v>
      </c>
      <c r="D1565" s="9" t="s">
        <v>5326</v>
      </c>
      <c r="E1565" s="10" t="str">
        <f>HYPERLINK("https://twitter.com/adrianwae/status/1069550625069895681","1069550625069895681")</f>
        <v>1069550625069895681</v>
      </c>
      <c r="F1565" s="11" t="s">
        <v>5327</v>
      </c>
      <c r="G1565" s="12"/>
      <c r="H1565" s="12"/>
      <c r="I1565" s="13">
        <v>0</v>
      </c>
      <c r="J1565" s="13">
        <v>0</v>
      </c>
      <c r="K1565" s="14" t="str">
        <f t="shared" si="278"/>
        <v>Twitter Web Client</v>
      </c>
      <c r="L1565" s="13">
        <v>454</v>
      </c>
      <c r="M1565" s="13">
        <v>696</v>
      </c>
      <c r="N1565" s="13">
        <v>31</v>
      </c>
      <c r="O1565" s="15"/>
      <c r="P1565" s="6">
        <v>39355.711689814816</v>
      </c>
      <c r="Q1565" s="16" t="s">
        <v>191</v>
      </c>
      <c r="R1565" s="17" t="s">
        <v>5328</v>
      </c>
      <c r="S1565" s="11" t="s">
        <v>5329</v>
      </c>
      <c r="T1565" s="12"/>
      <c r="U1565" s="10" t="str">
        <f>HYPERLINK("https://pbs.twimg.com/profile_images/754971312326602753/KXpP3ZJW.jpg","View")</f>
        <v>View</v>
      </c>
    </row>
    <row r="1566" spans="1:21" ht="20.399999999999999">
      <c r="A1566" s="6">
        <v>43437.510497685187</v>
      </c>
      <c r="B1566" s="7" t="str">
        <f>HYPERLINK("https://twitter.com/ABJ6691","@ABJ6691")</f>
        <v>@ABJ6691</v>
      </c>
      <c r="C1566" s="8" t="s">
        <v>4045</v>
      </c>
      <c r="D1566" s="9" t="s">
        <v>5330</v>
      </c>
      <c r="E1566" s="10" t="str">
        <f>HYPERLINK("https://twitter.com/ABJ6691/status/1069550595617509377","1069550595617509377")</f>
        <v>1069550595617509377</v>
      </c>
      <c r="F1566" s="12"/>
      <c r="G1566" s="12"/>
      <c r="H1566" s="12"/>
      <c r="I1566" s="13">
        <v>0</v>
      </c>
      <c r="J1566" s="13">
        <v>0</v>
      </c>
      <c r="K1566" s="14" t="str">
        <f t="shared" si="278"/>
        <v>Twitter Web Client</v>
      </c>
      <c r="L1566" s="13">
        <v>1190</v>
      </c>
      <c r="M1566" s="13">
        <v>1037</v>
      </c>
      <c r="N1566" s="13">
        <v>13</v>
      </c>
      <c r="O1566" s="15"/>
      <c r="P1566" s="6">
        <v>41788.552662037036</v>
      </c>
      <c r="Q1566" s="12"/>
      <c r="R1566" s="17" t="s">
        <v>4047</v>
      </c>
      <c r="S1566" s="12"/>
      <c r="T1566" s="12"/>
      <c r="U1566" s="10" t="str">
        <f>HYPERLINK("https://pbs.twimg.com/profile_images/998485520349970432/4qWdVkQL.jpg","View")</f>
        <v>View</v>
      </c>
    </row>
    <row r="1567" spans="1:21" ht="40.799999999999997">
      <c r="A1567" s="6">
        <v>43437.50990740741</v>
      </c>
      <c r="B1567" s="7" t="str">
        <f>HYPERLINK("https://twitter.com/unodemadrid2","@unodemadrid2")</f>
        <v>@unodemadrid2</v>
      </c>
      <c r="C1567" s="8" t="s">
        <v>5331</v>
      </c>
      <c r="D1567" s="9" t="s">
        <v>5332</v>
      </c>
      <c r="E1567" s="10" t="str">
        <f>HYPERLINK("https://twitter.com/unodemadrid2/status/1069550381850664960","1069550381850664960")</f>
        <v>1069550381850664960</v>
      </c>
      <c r="F1567" s="12"/>
      <c r="G1567" s="11" t="s">
        <v>5333</v>
      </c>
      <c r="H1567" s="12"/>
      <c r="I1567" s="13">
        <v>1</v>
      </c>
      <c r="J1567" s="13">
        <v>0</v>
      </c>
      <c r="K1567" s="14" t="str">
        <f t="shared" si="278"/>
        <v>Twitter Web Client</v>
      </c>
      <c r="L1567" s="13">
        <v>8</v>
      </c>
      <c r="M1567" s="13">
        <v>0</v>
      </c>
      <c r="N1567" s="13">
        <v>2</v>
      </c>
      <c r="O1567" s="15"/>
      <c r="P1567" s="6">
        <v>42983.396840277783</v>
      </c>
      <c r="Q1567" s="12"/>
      <c r="R1567" s="20"/>
      <c r="S1567" s="12"/>
      <c r="T1567" s="12"/>
      <c r="U1567" s="10" t="str">
        <f>HYPERLINK("https://pbs.twimg.com/profile_images/1006092404343091200/nx1k6QZx.jpg","View")</f>
        <v>View</v>
      </c>
    </row>
    <row r="1568" spans="1:21" ht="40.799999999999997">
      <c r="A1568" s="6">
        <v>43437.503981481481</v>
      </c>
      <c r="B1568" s="7" t="str">
        <f>HYPERLINK("https://twitter.com/VeoInfo_","@VeoInfo_")</f>
        <v>@VeoInfo_</v>
      </c>
      <c r="C1568" s="8" t="s">
        <v>2007</v>
      </c>
      <c r="D1568" s="9" t="s">
        <v>5334</v>
      </c>
      <c r="E1568" s="10" t="str">
        <f>HYPERLINK("https://twitter.com/VeoInfo_/status/1069548234161512448","1069548234161512448")</f>
        <v>1069548234161512448</v>
      </c>
      <c r="F1568" s="16" t="s">
        <v>5335</v>
      </c>
      <c r="G1568" s="12"/>
      <c r="H1568" s="12"/>
      <c r="I1568" s="13">
        <v>0</v>
      </c>
      <c r="J1568" s="13">
        <v>0</v>
      </c>
      <c r="K1568" s="14" t="str">
        <f>HYPERLINK("http://publicize.wp.com/","WordPress.com")</f>
        <v>WordPress.com</v>
      </c>
      <c r="L1568" s="13">
        <v>1135</v>
      </c>
      <c r="M1568" s="13">
        <v>1139</v>
      </c>
      <c r="N1568" s="13">
        <v>37</v>
      </c>
      <c r="O1568" s="15"/>
      <c r="P1568" s="6">
        <v>41881.101840277777</v>
      </c>
      <c r="Q1568" s="16" t="s">
        <v>2011</v>
      </c>
      <c r="R1568" s="17" t="s">
        <v>2012</v>
      </c>
      <c r="S1568" s="11" t="s">
        <v>2013</v>
      </c>
      <c r="T1568" s="12"/>
      <c r="U1568" s="10" t="str">
        <f>HYPERLINK("https://pbs.twimg.com/profile_images/601509372305485827/Val0dfGy.png","View")</f>
        <v>View</v>
      </c>
    </row>
    <row r="1569" spans="1:21" ht="51">
      <c r="A1569" s="6">
        <v>43437.502129629633</v>
      </c>
      <c r="B1569" s="7" t="str">
        <f>HYPERLINK("https://twitter.com/magoRafapiccola","@magoRafapiccola")</f>
        <v>@magoRafapiccola</v>
      </c>
      <c r="C1569" s="8" t="s">
        <v>5336</v>
      </c>
      <c r="D1569" s="9" t="s">
        <v>5337</v>
      </c>
      <c r="E1569" s="10" t="str">
        <f>HYPERLINK("https://twitter.com/magoRafapiccola/status/1069547560271036417","1069547560271036417")</f>
        <v>1069547560271036417</v>
      </c>
      <c r="F1569" s="11" t="s">
        <v>3698</v>
      </c>
      <c r="G1569" s="12"/>
      <c r="H1569" s="12"/>
      <c r="I1569" s="13">
        <v>0</v>
      </c>
      <c r="J1569" s="13">
        <v>0</v>
      </c>
      <c r="K1569" s="14" t="str">
        <f>HYPERLINK("http://twitter.com/download/android","Twitter for Android")</f>
        <v>Twitter for Android</v>
      </c>
      <c r="L1569" s="13">
        <v>903</v>
      </c>
      <c r="M1569" s="13">
        <v>586</v>
      </c>
      <c r="N1569" s="13">
        <v>19</v>
      </c>
      <c r="O1569" s="15"/>
      <c r="P1569" s="6">
        <v>40515.812442129631</v>
      </c>
      <c r="Q1569" s="16" t="s">
        <v>191</v>
      </c>
      <c r="R1569" s="17" t="s">
        <v>5338</v>
      </c>
      <c r="S1569" s="11" t="s">
        <v>5339</v>
      </c>
      <c r="T1569" s="12"/>
      <c r="U1569" s="10" t="str">
        <f>HYPERLINK("https://pbs.twimg.com/profile_images/1016440396493312000/VmH-4rp6.jpg","View")</f>
        <v>View</v>
      </c>
    </row>
    <row r="1570" spans="1:21" ht="30.6">
      <c r="A1570" s="6">
        <v>43437.501041666663</v>
      </c>
      <c r="B1570" s="7" t="str">
        <f>HYPERLINK("https://twitter.com/Calaixwebloc","@Calaixwebloc")</f>
        <v>@Calaixwebloc</v>
      </c>
      <c r="C1570" s="8" t="s">
        <v>5340</v>
      </c>
      <c r="D1570" s="9" t="s">
        <v>5341</v>
      </c>
      <c r="E1570" s="10" t="str">
        <f>HYPERLINK("https://twitter.com/Calaixwebloc/status/1069547165817757697","1069547165817757697")</f>
        <v>1069547165817757697</v>
      </c>
      <c r="F1570" s="11" t="s">
        <v>3698</v>
      </c>
      <c r="G1570" s="12"/>
      <c r="H1570" s="12"/>
      <c r="I1570" s="13">
        <v>0</v>
      </c>
      <c r="J1570" s="13">
        <v>0</v>
      </c>
      <c r="K1570" s="14" t="str">
        <f t="shared" ref="K1570:K1572" si="279">HYPERLINK("http://twitter.com","Twitter Web Client")</f>
        <v>Twitter Web Client</v>
      </c>
      <c r="L1570" s="13">
        <v>2937</v>
      </c>
      <c r="M1570" s="13">
        <v>2887</v>
      </c>
      <c r="N1570" s="13">
        <v>92</v>
      </c>
      <c r="O1570" s="15"/>
      <c r="P1570" s="6">
        <v>40037.781689814816</v>
      </c>
      <c r="Q1570" s="16" t="s">
        <v>524</v>
      </c>
      <c r="R1570" s="17" t="s">
        <v>5342</v>
      </c>
      <c r="S1570" s="11" t="s">
        <v>5343</v>
      </c>
      <c r="T1570" s="12"/>
      <c r="U1570" s="10" t="str">
        <f>HYPERLINK("https://pbs.twimg.com/profile_images/1069965677438611468/cpWJySdP.jpg","View")</f>
        <v>View</v>
      </c>
    </row>
    <row r="1571" spans="1:21" ht="30.6">
      <c r="A1571" s="6">
        <v>43437.49799768519</v>
      </c>
      <c r="B1571" s="7" t="str">
        <f>HYPERLINK("https://twitter.com/spastormartinez","@spastormartinez")</f>
        <v>@spastormartinez</v>
      </c>
      <c r="C1571" s="8" t="s">
        <v>5344</v>
      </c>
      <c r="D1571" s="9" t="s">
        <v>4861</v>
      </c>
      <c r="E1571" s="10" t="str">
        <f>HYPERLINK("https://twitter.com/spastormartinez/status/1069546064083107840","1069546064083107840")</f>
        <v>1069546064083107840</v>
      </c>
      <c r="F1571" s="11" t="s">
        <v>3698</v>
      </c>
      <c r="G1571" s="12"/>
      <c r="H1571" s="12"/>
      <c r="I1571" s="13">
        <v>0</v>
      </c>
      <c r="J1571" s="13">
        <v>0</v>
      </c>
      <c r="K1571" s="14" t="str">
        <f t="shared" si="279"/>
        <v>Twitter Web Client</v>
      </c>
      <c r="L1571" s="13">
        <v>3194</v>
      </c>
      <c r="M1571" s="13">
        <v>2798</v>
      </c>
      <c r="N1571" s="13">
        <v>22</v>
      </c>
      <c r="O1571" s="15"/>
      <c r="P1571" s="6">
        <v>41408.824097222227</v>
      </c>
      <c r="Q1571" s="16" t="s">
        <v>4064</v>
      </c>
      <c r="R1571" s="17" t="s">
        <v>5345</v>
      </c>
      <c r="S1571" s="12"/>
      <c r="T1571" s="12"/>
      <c r="U1571" s="10" t="str">
        <f>HYPERLINK("https://pbs.twimg.com/profile_images/519233687859122176/yPsHPdHV.jpeg","View")</f>
        <v>View</v>
      </c>
    </row>
    <row r="1572" spans="1:21" ht="30.6">
      <c r="A1572" s="6">
        <v>43437.496666666666</v>
      </c>
      <c r="B1572" s="7" t="str">
        <f>HYPERLINK("https://twitter.com/leonardofdezj","@leonardofdezj")</f>
        <v>@leonardofdezj</v>
      </c>
      <c r="C1572" s="8" t="s">
        <v>5346</v>
      </c>
      <c r="D1572" s="9" t="s">
        <v>5347</v>
      </c>
      <c r="E1572" s="10" t="str">
        <f>HYPERLINK("https://twitter.com/leonardofdezj/status/1069545579976495104","1069545579976495104")</f>
        <v>1069545579976495104</v>
      </c>
      <c r="F1572" s="12"/>
      <c r="G1572" s="12"/>
      <c r="H1572" s="12"/>
      <c r="I1572" s="13">
        <v>1</v>
      </c>
      <c r="J1572" s="13">
        <v>1</v>
      </c>
      <c r="K1572" s="14" t="str">
        <f t="shared" si="279"/>
        <v>Twitter Web Client</v>
      </c>
      <c r="L1572" s="13">
        <v>343</v>
      </c>
      <c r="M1572" s="13">
        <v>141</v>
      </c>
      <c r="N1572" s="13">
        <v>7</v>
      </c>
      <c r="O1572" s="15"/>
      <c r="P1572" s="6">
        <v>40980.703067129631</v>
      </c>
      <c r="Q1572" s="16" t="s">
        <v>109</v>
      </c>
      <c r="R1572" s="17" t="s">
        <v>5348</v>
      </c>
      <c r="S1572" s="11" t="s">
        <v>5349</v>
      </c>
      <c r="T1572" s="12"/>
      <c r="U1572" s="10" t="str">
        <f>HYPERLINK("https://pbs.twimg.com/profile_images/516259943209390080/wnqrkMyg.jpeg","View")</f>
        <v>View</v>
      </c>
    </row>
    <row r="1573" spans="1:21" ht="40.799999999999997">
      <c r="A1573" s="6">
        <v>43437.496307870373</v>
      </c>
      <c r="B1573" s="7" t="str">
        <f>HYPERLINK("https://twitter.com/astridportero","@astridportero")</f>
        <v>@astridportero</v>
      </c>
      <c r="C1573" s="8" t="s">
        <v>5350</v>
      </c>
      <c r="D1573" s="9" t="s">
        <v>5351</v>
      </c>
      <c r="E1573" s="10" t="str">
        <f>HYPERLINK("https://twitter.com/astridportero/status/1069545449990905856","1069545449990905856")</f>
        <v>1069545449990905856</v>
      </c>
      <c r="F1573" s="12"/>
      <c r="G1573" s="12"/>
      <c r="H1573" s="12"/>
      <c r="I1573" s="13">
        <v>0</v>
      </c>
      <c r="J1573" s="13">
        <v>1</v>
      </c>
      <c r="K1573" s="14" t="str">
        <f>HYPERLINK("https://about.twitter.com/products/tweetdeck","TweetDeck")</f>
        <v>TweetDeck</v>
      </c>
      <c r="L1573" s="13">
        <v>1248</v>
      </c>
      <c r="M1573" s="13">
        <v>1295</v>
      </c>
      <c r="N1573" s="13">
        <v>0</v>
      </c>
      <c r="O1573" s="15"/>
      <c r="P1573" s="6">
        <v>39227.626736111109</v>
      </c>
      <c r="Q1573" s="16" t="s">
        <v>5352</v>
      </c>
      <c r="R1573" s="17" t="s">
        <v>5353</v>
      </c>
      <c r="S1573" s="11" t="s">
        <v>5354</v>
      </c>
      <c r="T1573" s="12"/>
      <c r="U1573" s="10" t="str">
        <f>HYPERLINK("https://pbs.twimg.com/profile_images/1067423570261929985/zW7RstEp.jpg","View")</f>
        <v>View</v>
      </c>
    </row>
    <row r="1574" spans="1:21" ht="30.6">
      <c r="A1574" s="6">
        <v>43437.492581018523</v>
      </c>
      <c r="B1574" s="7" t="str">
        <f>HYPERLINK("https://twitter.com/otelium","@otelium")</f>
        <v>@otelium</v>
      </c>
      <c r="C1574" s="8" t="s">
        <v>5355</v>
      </c>
      <c r="D1574" s="9" t="s">
        <v>5356</v>
      </c>
      <c r="E1574" s="10" t="str">
        <f>HYPERLINK("https://twitter.com/otelium/status/1069544099387228160","1069544099387228160")</f>
        <v>1069544099387228160</v>
      </c>
      <c r="F1574" s="12"/>
      <c r="G1574" s="12"/>
      <c r="H1574" s="12"/>
      <c r="I1574" s="13">
        <v>1</v>
      </c>
      <c r="J1574" s="13">
        <v>5</v>
      </c>
      <c r="K1574" s="14" t="str">
        <f>HYPERLINK("http://twitter.com/download/android","Twitter for Android")</f>
        <v>Twitter for Android</v>
      </c>
      <c r="L1574" s="13">
        <v>270</v>
      </c>
      <c r="M1574" s="13">
        <v>304</v>
      </c>
      <c r="N1574" s="13">
        <v>0</v>
      </c>
      <c r="O1574" s="15"/>
      <c r="P1574" s="6">
        <v>40591.888414351852</v>
      </c>
      <c r="Q1574" s="16" t="s">
        <v>5357</v>
      </c>
      <c r="R1574" s="17" t="s">
        <v>5358</v>
      </c>
      <c r="S1574" s="12"/>
      <c r="T1574" s="12"/>
      <c r="U1574" s="10" t="str">
        <f>HYPERLINK("https://pbs.twimg.com/profile_images/1034860309863968769/NghIeR_Z.jpg","View")</f>
        <v>View</v>
      </c>
    </row>
    <row r="1575" spans="1:21" ht="40.799999999999997">
      <c r="A1575" s="6">
        <v>43437.4918287037</v>
      </c>
      <c r="B1575" s="7" t="str">
        <f>HYPERLINK("https://twitter.com/javierjuantur","@javierjuantur")</f>
        <v>@javierjuantur</v>
      </c>
      <c r="C1575" s="8" t="s">
        <v>5359</v>
      </c>
      <c r="D1575" s="9" t="s">
        <v>5360</v>
      </c>
      <c r="E1575" s="10" t="str">
        <f>HYPERLINK("https://twitter.com/javierjuantur/status/1069543827311157248","1069543827311157248")</f>
        <v>1069543827311157248</v>
      </c>
      <c r="F1575" s="11" t="s">
        <v>5361</v>
      </c>
      <c r="G1575" s="11" t="s">
        <v>5362</v>
      </c>
      <c r="H1575" s="12"/>
      <c r="I1575" s="13">
        <v>65</v>
      </c>
      <c r="J1575" s="13">
        <v>39</v>
      </c>
      <c r="K1575" s="14" t="str">
        <f t="shared" ref="K1575:K1576" si="280">HYPERLINK("http://twitter.com","Twitter Web Client")</f>
        <v>Twitter Web Client</v>
      </c>
      <c r="L1575" s="13">
        <v>61322</v>
      </c>
      <c r="M1575" s="13">
        <v>64268</v>
      </c>
      <c r="N1575" s="13">
        <v>312</v>
      </c>
      <c r="O1575" s="15"/>
      <c r="P1575" s="6">
        <v>41420.674872685187</v>
      </c>
      <c r="Q1575" s="16" t="s">
        <v>1463</v>
      </c>
      <c r="R1575" s="17" t="s">
        <v>5363</v>
      </c>
      <c r="S1575" s="12"/>
      <c r="T1575" s="12"/>
      <c r="U1575" s="10" t="str">
        <f>HYPERLINK("https://pbs.twimg.com/profile_images/900746297732366337/YZCIw7G_.jpg","View")</f>
        <v>View</v>
      </c>
    </row>
    <row r="1576" spans="1:21" ht="20.399999999999999">
      <c r="A1576" s="6">
        <v>43437.485300925924</v>
      </c>
      <c r="B1576" s="7" t="str">
        <f>HYPERLINK("https://twitter.com/AntGainos","@AntGainos")</f>
        <v>@AntGainos</v>
      </c>
      <c r="C1576" s="8" t="s">
        <v>1000</v>
      </c>
      <c r="D1576" s="9" t="s">
        <v>4444</v>
      </c>
      <c r="E1576" s="10" t="str">
        <f>HYPERLINK("https://twitter.com/AntGainos/status/1069541464114429953","1069541464114429953")</f>
        <v>1069541464114429953</v>
      </c>
      <c r="F1576" s="11" t="s">
        <v>3698</v>
      </c>
      <c r="G1576" s="12"/>
      <c r="H1576" s="12"/>
      <c r="I1576" s="13">
        <v>0</v>
      </c>
      <c r="J1576" s="13">
        <v>0</v>
      </c>
      <c r="K1576" s="14" t="str">
        <f t="shared" si="280"/>
        <v>Twitter Web Client</v>
      </c>
      <c r="L1576" s="13">
        <v>552</v>
      </c>
      <c r="M1576" s="13">
        <v>553</v>
      </c>
      <c r="N1576" s="13">
        <v>9</v>
      </c>
      <c r="O1576" s="15"/>
      <c r="P1576" s="6">
        <v>40643.846689814818</v>
      </c>
      <c r="Q1576" s="16" t="s">
        <v>325</v>
      </c>
      <c r="R1576" s="20"/>
      <c r="S1576" s="12"/>
      <c r="T1576" s="12"/>
      <c r="U1576" s="10" t="str">
        <f>HYPERLINK("https://pbs.twimg.com/profile_images/1034402549011542016/iBP_Fz3r.jpg","View")</f>
        <v>View</v>
      </c>
    </row>
    <row r="1577" spans="1:21" ht="40.799999999999997">
      <c r="A1577" s="6">
        <v>43437.483055555553</v>
      </c>
      <c r="B1577" s="7" t="str">
        <f>HYPERLINK("https://twitter.com/Jota_POV","@Jota_POV")</f>
        <v>@Jota_POV</v>
      </c>
      <c r="C1577" s="8" t="s">
        <v>5364</v>
      </c>
      <c r="D1577" s="9" t="s">
        <v>5365</v>
      </c>
      <c r="E1577" s="10" t="str">
        <f>HYPERLINK("https://twitter.com/Jota_POV/status/1069540647542104064","1069540647542104064")</f>
        <v>1069540647542104064</v>
      </c>
      <c r="F1577" s="11" t="s">
        <v>5366</v>
      </c>
      <c r="G1577" s="11" t="s">
        <v>5367</v>
      </c>
      <c r="H1577" s="12"/>
      <c r="I1577" s="13">
        <v>0</v>
      </c>
      <c r="J1577" s="13">
        <v>0</v>
      </c>
      <c r="K1577" s="14" t="str">
        <f>HYPERLINK("http://publicize.wp.com/","WordPress.com")</f>
        <v>WordPress.com</v>
      </c>
      <c r="L1577" s="13">
        <v>4537</v>
      </c>
      <c r="M1577" s="13">
        <v>3221</v>
      </c>
      <c r="N1577" s="13">
        <v>52</v>
      </c>
      <c r="O1577" s="15"/>
      <c r="P1577" s="6">
        <v>41980.881006944444</v>
      </c>
      <c r="Q1577" s="12"/>
      <c r="R1577" s="17" t="s">
        <v>5368</v>
      </c>
      <c r="S1577" s="11" t="s">
        <v>5369</v>
      </c>
      <c r="T1577" s="12"/>
      <c r="U1577" s="10" t="str">
        <f>HYPERLINK("https://pbs.twimg.com/profile_images/1069587937321459719/BqxF0hv9.jpg","View")</f>
        <v>View</v>
      </c>
    </row>
    <row r="1578" spans="1:21" ht="30.6">
      <c r="A1578" s="6">
        <v>43437.478993055556</v>
      </c>
      <c r="B1578" s="7" t="str">
        <f>HYPERLINK("https://twitter.com/BenderOfuscado","@BenderOfuscado")</f>
        <v>@BenderOfuscado</v>
      </c>
      <c r="C1578" s="8" t="s">
        <v>2854</v>
      </c>
      <c r="D1578" s="9" t="s">
        <v>5370</v>
      </c>
      <c r="E1578" s="10" t="str">
        <f>HYPERLINK("https://twitter.com/BenderOfuscado/status/1069539178441048065","1069539178441048065")</f>
        <v>1069539178441048065</v>
      </c>
      <c r="F1578" s="12"/>
      <c r="G1578" s="12"/>
      <c r="H1578" s="12"/>
      <c r="I1578" s="13">
        <v>1</v>
      </c>
      <c r="J1578" s="13">
        <v>7</v>
      </c>
      <c r="K1578" s="14" t="str">
        <f>HYPERLINK("http://twitter.com/download/android","Twitter for Android")</f>
        <v>Twitter for Android</v>
      </c>
      <c r="L1578" s="13">
        <v>399</v>
      </c>
      <c r="M1578" s="13">
        <v>119</v>
      </c>
      <c r="N1578" s="13">
        <v>3</v>
      </c>
      <c r="O1578" s="15"/>
      <c r="P1578" s="6">
        <v>43024.934791666667</v>
      </c>
      <c r="Q1578" s="12"/>
      <c r="R1578" s="17" t="s">
        <v>2856</v>
      </c>
      <c r="S1578" s="12"/>
      <c r="T1578" s="12"/>
      <c r="U1578" s="10" t="str">
        <f>HYPERLINK("https://pbs.twimg.com/profile_images/1032296142674055169/HJToDVsj.jpg","View")</f>
        <v>View</v>
      </c>
    </row>
    <row r="1579" spans="1:21" ht="40.799999999999997">
      <c r="A1579" s="6">
        <v>43437.47865740741</v>
      </c>
      <c r="B1579" s="7" t="str">
        <f>HYPERLINK("https://twitter.com/TuVecinoDeAtico","@TuVecinoDeAtico")</f>
        <v>@TuVecinoDeAtico</v>
      </c>
      <c r="C1579" s="8" t="s">
        <v>1671</v>
      </c>
      <c r="D1579" s="9" t="s">
        <v>5371</v>
      </c>
      <c r="E1579" s="10" t="str">
        <f>HYPERLINK("https://twitter.com/TuVecinoDeAtico/status/1069539055099088897","1069539055099088897")</f>
        <v>1069539055099088897</v>
      </c>
      <c r="F1579" s="12"/>
      <c r="G1579" s="11" t="s">
        <v>5372</v>
      </c>
      <c r="H1579" s="12"/>
      <c r="I1579" s="13">
        <v>0</v>
      </c>
      <c r="J1579" s="13">
        <v>1</v>
      </c>
      <c r="K1579" s="14" t="str">
        <f>HYPERLINK("https://about.twitter.com/products/tweetdeck","TweetDeck")</f>
        <v>TweetDeck</v>
      </c>
      <c r="L1579" s="13">
        <v>1966</v>
      </c>
      <c r="M1579" s="13">
        <v>3408</v>
      </c>
      <c r="N1579" s="13">
        <v>125</v>
      </c>
      <c r="O1579" s="15"/>
      <c r="P1579" s="6">
        <v>41305.943252314813</v>
      </c>
      <c r="Q1579" s="12"/>
      <c r="R1579" s="17" t="s">
        <v>1675</v>
      </c>
      <c r="S1579" s="12"/>
      <c r="T1579" s="12"/>
      <c r="U1579" s="10" t="str">
        <f>HYPERLINK("https://pbs.twimg.com/profile_images/1054342457326997504/ho44AaVC.jpg","View")</f>
        <v>View</v>
      </c>
    </row>
    <row r="1580" spans="1:21" ht="13.2">
      <c r="A1580" s="6">
        <v>43437.473067129627</v>
      </c>
      <c r="B1580" s="7" t="str">
        <f>HYPERLINK("https://twitter.com/geopoliting","@geopoliting")</f>
        <v>@geopoliting</v>
      </c>
      <c r="C1580" s="8" t="s">
        <v>5373</v>
      </c>
      <c r="D1580" s="9" t="s">
        <v>5374</v>
      </c>
      <c r="E1580" s="10" t="str">
        <f>HYPERLINK("https://twitter.com/geopoliting/status/1069537031070601216","1069537031070601216")</f>
        <v>1069537031070601216</v>
      </c>
      <c r="F1580" s="11" t="s">
        <v>5375</v>
      </c>
      <c r="G1580" s="12"/>
      <c r="H1580" s="12"/>
      <c r="I1580" s="13">
        <v>0</v>
      </c>
      <c r="J1580" s="13">
        <v>0</v>
      </c>
      <c r="K1580" s="14" t="str">
        <f>HYPERLINK("http://geopoliting.com","geopoliting")</f>
        <v>geopoliting</v>
      </c>
      <c r="L1580" s="13">
        <v>2561</v>
      </c>
      <c r="M1580" s="13">
        <v>824</v>
      </c>
      <c r="N1580" s="13">
        <v>1171</v>
      </c>
      <c r="O1580" s="15"/>
      <c r="P1580" s="6">
        <v>40727.958761574075</v>
      </c>
      <c r="Q1580" s="16" t="s">
        <v>5376</v>
      </c>
      <c r="R1580" s="17" t="s">
        <v>5377</v>
      </c>
      <c r="S1580" s="11" t="s">
        <v>5378</v>
      </c>
      <c r="T1580" s="12"/>
      <c r="U1580" s="10" t="str">
        <f>HYPERLINK("https://pbs.twimg.com/profile_images/3061930385/8bc149421824fc2dfd1940ea3e8f0448.png","View")</f>
        <v>View</v>
      </c>
    </row>
    <row r="1581" spans="1:21" ht="40.799999999999997">
      <c r="A1581" s="6">
        <v>43437.473020833335</v>
      </c>
      <c r="B1581" s="7" t="str">
        <f>HYPERLINK("https://twitter.com/lopezbarrancoj4","@lopezbarrancoj4")</f>
        <v>@lopezbarrancoj4</v>
      </c>
      <c r="C1581" s="8" t="s">
        <v>3047</v>
      </c>
      <c r="D1581" s="9" t="s">
        <v>5379</v>
      </c>
      <c r="E1581" s="10" t="str">
        <f>HYPERLINK("https://twitter.com/lopezbarrancoj4/status/1069537010585661440","1069537010585661440")</f>
        <v>1069537010585661440</v>
      </c>
      <c r="F1581" s="12"/>
      <c r="G1581" s="12"/>
      <c r="H1581" s="12"/>
      <c r="I1581" s="13">
        <v>0</v>
      </c>
      <c r="J1581" s="13">
        <v>0</v>
      </c>
      <c r="K1581" s="14" t="str">
        <f>HYPERLINK("http://twitter.com","Twitter Web Client")</f>
        <v>Twitter Web Client</v>
      </c>
      <c r="L1581" s="13">
        <v>10</v>
      </c>
      <c r="M1581" s="13">
        <v>46</v>
      </c>
      <c r="N1581" s="13">
        <v>0</v>
      </c>
      <c r="O1581" s="15"/>
      <c r="P1581" s="6">
        <v>42912.444780092592</v>
      </c>
      <c r="Q1581" s="12"/>
      <c r="R1581" s="20"/>
      <c r="S1581" s="12"/>
      <c r="T1581" s="12"/>
      <c r="U1581" s="19" t="s">
        <v>359</v>
      </c>
    </row>
    <row r="1582" spans="1:21" ht="71.400000000000006">
      <c r="A1582" s="6">
        <v>43437.47079861111</v>
      </c>
      <c r="B1582" s="7" t="str">
        <f>HYPERLINK("https://twitter.com/Manuelrgmvdp","@Manuelrgmvdp")</f>
        <v>@Manuelrgmvdp</v>
      </c>
      <c r="C1582" s="8" t="s">
        <v>5380</v>
      </c>
      <c r="D1582" s="9" t="s">
        <v>5381</v>
      </c>
      <c r="E1582" s="10" t="str">
        <f>HYPERLINK("https://twitter.com/Manuelrgmvdp/status/1069536208554987520","1069536208554987520")</f>
        <v>1069536208554987520</v>
      </c>
      <c r="F1582" s="11" t="s">
        <v>5382</v>
      </c>
      <c r="G1582" s="11" t="s">
        <v>5383</v>
      </c>
      <c r="H1582" s="12"/>
      <c r="I1582" s="13">
        <v>1</v>
      </c>
      <c r="J1582" s="13">
        <v>0</v>
      </c>
      <c r="K1582" s="14" t="str">
        <f>HYPERLINK("http://twitter.com/download/iphone","Twitter for iPhone")</f>
        <v>Twitter for iPhone</v>
      </c>
      <c r="L1582" s="13">
        <v>218</v>
      </c>
      <c r="M1582" s="13">
        <v>969</v>
      </c>
      <c r="N1582" s="13">
        <v>7</v>
      </c>
      <c r="O1582" s="15"/>
      <c r="P1582" s="6">
        <v>40631.723692129628</v>
      </c>
      <c r="Q1582" s="16" t="s">
        <v>4639</v>
      </c>
      <c r="R1582" s="17" t="s">
        <v>5384</v>
      </c>
      <c r="S1582" s="12"/>
      <c r="T1582" s="12"/>
      <c r="U1582" s="10" t="str">
        <f>HYPERLINK("https://pbs.twimg.com/profile_images/899811778909151233/0vS68PdD.jpg","View")</f>
        <v>View</v>
      </c>
    </row>
    <row r="1583" spans="1:21" ht="30.6">
      <c r="A1583" s="6">
        <v>43437.466643518521</v>
      </c>
      <c r="B1583" s="7" t="str">
        <f>HYPERLINK("https://twitter.com/Marmota_Maligna","@Marmota_Maligna")</f>
        <v>@Marmota_Maligna</v>
      </c>
      <c r="C1583" s="8" t="s">
        <v>5385</v>
      </c>
      <c r="D1583" s="9" t="s">
        <v>5386</v>
      </c>
      <c r="E1583" s="10" t="str">
        <f>HYPERLINK("https://twitter.com/Marmota_Maligna/status/1069534702762119168","1069534702762119168")</f>
        <v>1069534702762119168</v>
      </c>
      <c r="F1583" s="12"/>
      <c r="G1583" s="12"/>
      <c r="H1583" s="12"/>
      <c r="I1583" s="13">
        <v>1</v>
      </c>
      <c r="J1583" s="13">
        <v>0</v>
      </c>
      <c r="K1583" s="14" t="str">
        <f>HYPERLINK("https://about.twitter.com/products/tweetdeck","TweetDeck")</f>
        <v>TweetDeck</v>
      </c>
      <c r="L1583" s="13">
        <v>2072</v>
      </c>
      <c r="M1583" s="13">
        <v>521</v>
      </c>
      <c r="N1583" s="13">
        <v>122</v>
      </c>
      <c r="O1583" s="15"/>
      <c r="P1583" s="6">
        <v>40688.433993055558</v>
      </c>
      <c r="Q1583" s="16" t="s">
        <v>5387</v>
      </c>
      <c r="R1583" s="17" t="s">
        <v>5388</v>
      </c>
      <c r="S1583" s="11" t="s">
        <v>5389</v>
      </c>
      <c r="T1583" s="12"/>
      <c r="U1583" s="10" t="str">
        <f>HYPERLINK("https://pbs.twimg.com/profile_images/1068897043631022080/dFXwFe6B.jpg","View")</f>
        <v>View</v>
      </c>
    </row>
    <row r="1584" spans="1:21" ht="61.2">
      <c r="A1584" s="6">
        <v>43437.462384259255</v>
      </c>
      <c r="B1584" s="7" t="str">
        <f>HYPERLINK("https://twitter.com/cuchillandante","@cuchillandante")</f>
        <v>@cuchillandante</v>
      </c>
      <c r="C1584" s="8" t="s">
        <v>5390</v>
      </c>
      <c r="D1584" s="9" t="s">
        <v>5391</v>
      </c>
      <c r="E1584" s="10" t="str">
        <f>HYPERLINK("https://twitter.com/cuchillandante/status/1069533158813696001","1069533158813696001")</f>
        <v>1069533158813696001</v>
      </c>
      <c r="F1584" s="16" t="s">
        <v>5392</v>
      </c>
      <c r="G1584" s="11" t="s">
        <v>5393</v>
      </c>
      <c r="H1584" s="12"/>
      <c r="I1584" s="13">
        <v>0</v>
      </c>
      <c r="J1584" s="13">
        <v>0</v>
      </c>
      <c r="K1584" s="14" t="str">
        <f>HYPERLINK("http://twitter.com/#!/download/ipad","Twitter for iPad")</f>
        <v>Twitter for iPad</v>
      </c>
      <c r="L1584" s="13">
        <v>524</v>
      </c>
      <c r="M1584" s="13">
        <v>427</v>
      </c>
      <c r="N1584" s="13">
        <v>8</v>
      </c>
      <c r="O1584" s="15"/>
      <c r="P1584" s="6">
        <v>40770.820925925924</v>
      </c>
      <c r="Q1584" s="16" t="s">
        <v>5394</v>
      </c>
      <c r="R1584" s="17" t="s">
        <v>5395</v>
      </c>
      <c r="S1584" s="11" t="s">
        <v>5396</v>
      </c>
      <c r="T1584" s="12"/>
      <c r="U1584" s="10" t="str">
        <f>HYPERLINK("https://pbs.twimg.com/profile_images/644802031568441344/efT53oo6.jpg","View")</f>
        <v>View</v>
      </c>
    </row>
    <row r="1585" spans="1:21" ht="51">
      <c r="A1585" s="6">
        <v>43437.461423611108</v>
      </c>
      <c r="B1585" s="7" t="str">
        <f>HYPERLINK("https://twitter.com/Suave70511209","@Suave70511209")</f>
        <v>@Suave70511209</v>
      </c>
      <c r="C1585" s="8" t="s">
        <v>5397</v>
      </c>
      <c r="D1585" s="9" t="s">
        <v>5398</v>
      </c>
      <c r="E1585" s="10" t="str">
        <f>HYPERLINK("https://twitter.com/Suave70511209/status/1069532810594140160","1069532810594140160")</f>
        <v>1069532810594140160</v>
      </c>
      <c r="F1585" s="11" t="s">
        <v>5399</v>
      </c>
      <c r="G1585" s="11" t="s">
        <v>5400</v>
      </c>
      <c r="H1585" s="12"/>
      <c r="I1585" s="13">
        <v>0</v>
      </c>
      <c r="J1585" s="13">
        <v>0</v>
      </c>
      <c r="K1585" s="14" t="str">
        <f>HYPERLINK("http://twitter.com/download/iphone","Twitter for iPhone")</f>
        <v>Twitter for iPhone</v>
      </c>
      <c r="L1585" s="13">
        <v>227</v>
      </c>
      <c r="M1585" s="13">
        <v>712</v>
      </c>
      <c r="N1585" s="13">
        <v>0</v>
      </c>
      <c r="O1585" s="15"/>
      <c r="P1585" s="6">
        <v>43273.738611111112</v>
      </c>
      <c r="Q1585" s="12"/>
      <c r="R1585" s="17" t="s">
        <v>5401</v>
      </c>
      <c r="S1585" s="12"/>
      <c r="T1585" s="12"/>
      <c r="U1585" s="10" t="str">
        <f>HYPERLINK("https://pbs.twimg.com/profile_images/1010222086424547328/YhPI8KQm.jpg","View")</f>
        <v>View</v>
      </c>
    </row>
    <row r="1586" spans="1:21" ht="51">
      <c r="A1586" s="6">
        <v>43437.453680555554</v>
      </c>
      <c r="B1586" s="7" t="str">
        <f>HYPERLINK("https://twitter.com/nnggcalahorra","@nnggcalahorra")</f>
        <v>@nnggcalahorra</v>
      </c>
      <c r="C1586" s="8" t="s">
        <v>5153</v>
      </c>
      <c r="D1586" s="9" t="s">
        <v>5402</v>
      </c>
      <c r="E1586" s="10" t="str">
        <f>HYPERLINK("https://twitter.com/nnggcalahorra/status/1069530005892464640","1069530005892464640")</f>
        <v>1069530005892464640</v>
      </c>
      <c r="F1586" s="11" t="s">
        <v>5403</v>
      </c>
      <c r="G1586" s="12"/>
      <c r="H1586" s="12"/>
      <c r="I1586" s="13">
        <v>0</v>
      </c>
      <c r="J1586" s="13">
        <v>1</v>
      </c>
      <c r="K1586" s="14" t="str">
        <f>HYPERLINK("http://www.facebook.com/twitter","Facebook")</f>
        <v>Facebook</v>
      </c>
      <c r="L1586" s="13">
        <v>256</v>
      </c>
      <c r="M1586" s="13">
        <v>253</v>
      </c>
      <c r="N1586" s="13">
        <v>6</v>
      </c>
      <c r="O1586" s="15"/>
      <c r="P1586" s="6">
        <v>41602.405324074076</v>
      </c>
      <c r="Q1586" s="16" t="s">
        <v>5156</v>
      </c>
      <c r="R1586" s="17" t="s">
        <v>5157</v>
      </c>
      <c r="S1586" s="11" t="s">
        <v>5158</v>
      </c>
      <c r="T1586" s="12"/>
      <c r="U1586" s="10" t="str">
        <f>HYPERLINK("https://pbs.twimg.com/profile_images/917766110795255808/EKcgWEuT.jpg","View")</f>
        <v>View</v>
      </c>
    </row>
    <row r="1587" spans="1:21" ht="51">
      <c r="A1587" s="6">
        <v>43437.451342592598</v>
      </c>
      <c r="B1587" s="7" t="str">
        <f>HYPERLINK("https://twitter.com/Xiscally","@Xiscally")</f>
        <v>@Xiscally</v>
      </c>
      <c r="C1587" s="8" t="s">
        <v>5404</v>
      </c>
      <c r="D1587" s="9" t="s">
        <v>5405</v>
      </c>
      <c r="E1587" s="10" t="str">
        <f>HYPERLINK("https://twitter.com/Xiscally/status/1069529155488886784","1069529155488886784")</f>
        <v>1069529155488886784</v>
      </c>
      <c r="F1587" s="12"/>
      <c r="G1587" s="12"/>
      <c r="H1587" s="12"/>
      <c r="I1587" s="13">
        <v>0</v>
      </c>
      <c r="J1587" s="13">
        <v>1</v>
      </c>
      <c r="K1587" s="14" t="str">
        <f>HYPERLINK("http://twitter.com/download/android","Twitter for Android")</f>
        <v>Twitter for Android</v>
      </c>
      <c r="L1587" s="13">
        <v>640</v>
      </c>
      <c r="M1587" s="13">
        <v>322</v>
      </c>
      <c r="N1587" s="13">
        <v>54</v>
      </c>
      <c r="O1587" s="15"/>
      <c r="P1587" s="6">
        <v>40014.69908564815</v>
      </c>
      <c r="Q1587" s="16" t="s">
        <v>5406</v>
      </c>
      <c r="R1587" s="17" t="s">
        <v>5407</v>
      </c>
      <c r="S1587" s="11" t="s">
        <v>5408</v>
      </c>
      <c r="T1587" s="12"/>
      <c r="U1587" s="10" t="str">
        <f>HYPERLINK("https://pbs.twimg.com/profile_images/378800000656060765/0c7e482271392c1346f5fecd05e06c0a.jpeg","View")</f>
        <v>View</v>
      </c>
    </row>
    <row r="1588" spans="1:21" ht="40.799999999999997">
      <c r="A1588" s="6">
        <v>43437.447650462964</v>
      </c>
      <c r="B1588" s="7" t="str">
        <f>HYPERLINK("https://twitter.com/Ana_Cordobes","@Ana_Cordobes")</f>
        <v>@Ana_Cordobes</v>
      </c>
      <c r="C1588" s="8" t="s">
        <v>5409</v>
      </c>
      <c r="D1588" s="9" t="s">
        <v>5410</v>
      </c>
      <c r="E1588" s="10" t="str">
        <f>HYPERLINK("https://twitter.com/Ana_Cordobes/status/1069527818441232384","1069527818441232384")</f>
        <v>1069527818441232384</v>
      </c>
      <c r="F1588" s="12"/>
      <c r="G1588" s="11" t="s">
        <v>5411</v>
      </c>
      <c r="H1588" s="12"/>
      <c r="I1588" s="13">
        <v>1</v>
      </c>
      <c r="J1588" s="13">
        <v>1</v>
      </c>
      <c r="K1588" s="14" t="str">
        <f>HYPERLINK("http://twitter.com/download/iphone","Twitter for iPhone")</f>
        <v>Twitter for iPhone</v>
      </c>
      <c r="L1588" s="13">
        <v>2399</v>
      </c>
      <c r="M1588" s="13">
        <v>824</v>
      </c>
      <c r="N1588" s="13">
        <v>147</v>
      </c>
      <c r="O1588" s="15"/>
      <c r="P1588" s="6">
        <v>40309.388854166667</v>
      </c>
      <c r="Q1588" s="16" t="s">
        <v>5412</v>
      </c>
      <c r="R1588" s="17" t="s">
        <v>5413</v>
      </c>
      <c r="S1588" s="11" t="s">
        <v>5414</v>
      </c>
      <c r="T1588" s="12"/>
      <c r="U1588" s="10" t="str">
        <f>HYPERLINK("https://pbs.twimg.com/profile_images/1068130712879054848/rDiDrP9s.jpg","View")</f>
        <v>View</v>
      </c>
    </row>
    <row r="1589" spans="1:21" ht="20.399999999999999">
      <c r="A1589" s="6">
        <v>43437.447199074071</v>
      </c>
      <c r="B1589" s="7" t="str">
        <f>HYPERLINK("https://twitter.com/delahozm","@delahozm")</f>
        <v>@delahozm</v>
      </c>
      <c r="C1589" s="8" t="s">
        <v>3730</v>
      </c>
      <c r="D1589" s="9" t="s">
        <v>5415</v>
      </c>
      <c r="E1589" s="10" t="str">
        <f>HYPERLINK("https://twitter.com/delahozm/status/1069527653068226562","1069527653068226562")</f>
        <v>1069527653068226562</v>
      </c>
      <c r="F1589" s="11" t="s">
        <v>5416</v>
      </c>
      <c r="G1589" s="12"/>
      <c r="H1589" s="12"/>
      <c r="I1589" s="13">
        <v>0</v>
      </c>
      <c r="J1589" s="13">
        <v>0</v>
      </c>
      <c r="K1589" s="14" t="str">
        <f>HYPERLINK("http://twitter.com/download/android","Twitter for Android")</f>
        <v>Twitter for Android</v>
      </c>
      <c r="L1589" s="13">
        <v>16455</v>
      </c>
      <c r="M1589" s="13">
        <v>1138</v>
      </c>
      <c r="N1589" s="13">
        <v>458</v>
      </c>
      <c r="O1589" s="19" t="s">
        <v>44</v>
      </c>
      <c r="P1589" s="6">
        <v>40703.555393518516</v>
      </c>
      <c r="Q1589" s="16" t="s">
        <v>572</v>
      </c>
      <c r="R1589" s="17" t="s">
        <v>3732</v>
      </c>
      <c r="S1589" s="11" t="s">
        <v>1566</v>
      </c>
      <c r="T1589" s="12"/>
      <c r="U1589" s="10" t="str">
        <f>HYPERLINK("https://pbs.twimg.com/profile_images/773949873167142913/wCQxjl2d.jpg","View")</f>
        <v>View</v>
      </c>
    </row>
    <row r="1590" spans="1:21" ht="30.6">
      <c r="A1590" s="6">
        <v>43437.440335648149</v>
      </c>
      <c r="B1590" s="7" t="str">
        <f>HYPERLINK("https://twitter.com/JorgeMarazu","@JorgeMarazu")</f>
        <v>@JorgeMarazu</v>
      </c>
      <c r="C1590" s="8" t="s">
        <v>5417</v>
      </c>
      <c r="D1590" s="9" t="s">
        <v>5418</v>
      </c>
      <c r="E1590" s="10" t="str">
        <f>HYPERLINK("https://twitter.com/JorgeMarazu/status/1069525166500265984","1069525166500265984")</f>
        <v>1069525166500265984</v>
      </c>
      <c r="F1590" s="12"/>
      <c r="G1590" s="12"/>
      <c r="H1590" s="12"/>
      <c r="I1590" s="13">
        <v>0</v>
      </c>
      <c r="J1590" s="13">
        <v>1</v>
      </c>
      <c r="K1590" s="14" t="str">
        <f t="shared" ref="K1590:K1591" si="281">HYPERLINK("http://twitter.com/download/iphone","Twitter for iPhone")</f>
        <v>Twitter for iPhone</v>
      </c>
      <c r="L1590" s="13">
        <v>3408</v>
      </c>
      <c r="M1590" s="13">
        <v>574</v>
      </c>
      <c r="N1590" s="13">
        <v>49</v>
      </c>
      <c r="O1590" s="15"/>
      <c r="P1590" s="6">
        <v>40281.73982638889</v>
      </c>
      <c r="Q1590" s="16" t="s">
        <v>5419</v>
      </c>
      <c r="R1590" s="17" t="s">
        <v>5420</v>
      </c>
      <c r="S1590" s="12"/>
      <c r="T1590" s="12"/>
      <c r="U1590" s="10" t="str">
        <f>HYPERLINK("https://pbs.twimg.com/profile_images/996795231214370817/uGYtGprD.jpg","View")</f>
        <v>View</v>
      </c>
    </row>
    <row r="1591" spans="1:21" ht="51">
      <c r="A1591" s="6">
        <v>43437.434814814813</v>
      </c>
      <c r="B1591" s="7" t="str">
        <f>HYPERLINK("https://twitter.com/Amartinbeaumont","@Amartinbeaumont")</f>
        <v>@Amartinbeaumont</v>
      </c>
      <c r="C1591" s="8" t="s">
        <v>3651</v>
      </c>
      <c r="D1591" s="9" t="s">
        <v>5421</v>
      </c>
      <c r="E1591" s="10" t="str">
        <f>HYPERLINK("https://twitter.com/Amartinbeaumont/status/1069523166786174977","1069523166786174977")</f>
        <v>1069523166786174977</v>
      </c>
      <c r="F1591" s="12"/>
      <c r="G1591" s="12"/>
      <c r="H1591" s="12"/>
      <c r="I1591" s="13">
        <v>7</v>
      </c>
      <c r="J1591" s="13">
        <v>5</v>
      </c>
      <c r="K1591" s="14" t="str">
        <f t="shared" si="281"/>
        <v>Twitter for iPhone</v>
      </c>
      <c r="L1591" s="13">
        <v>8197</v>
      </c>
      <c r="M1591" s="13">
        <v>599</v>
      </c>
      <c r="N1591" s="13">
        <v>222</v>
      </c>
      <c r="O1591" s="15"/>
      <c r="P1591" s="6">
        <v>40624.833368055552</v>
      </c>
      <c r="Q1591" s="16" t="s">
        <v>3653</v>
      </c>
      <c r="R1591" s="17" t="s">
        <v>3654</v>
      </c>
      <c r="S1591" s="11" t="s">
        <v>3655</v>
      </c>
      <c r="T1591" s="12"/>
      <c r="U1591" s="10" t="str">
        <f>HYPERLINK("https://pbs.twimg.com/profile_images/502373788466810880/qhkhfrCn.jpeg","View")</f>
        <v>View</v>
      </c>
    </row>
    <row r="1592" spans="1:21" ht="40.799999999999997">
      <c r="A1592" s="6">
        <v>43437.422962962963</v>
      </c>
      <c r="B1592" s="7" t="str">
        <f>HYPERLINK("https://twitter.com/cagid0","@cagid0")</f>
        <v>@cagid0</v>
      </c>
      <c r="C1592" s="8" t="s">
        <v>5422</v>
      </c>
      <c r="D1592" s="9" t="s">
        <v>5423</v>
      </c>
      <c r="E1592" s="10" t="str">
        <f>HYPERLINK("https://twitter.com/cagid0/status/1069518871172923392","1069518871172923392")</f>
        <v>1069518871172923392</v>
      </c>
      <c r="F1592" s="12"/>
      <c r="G1592" s="11" t="s">
        <v>5424</v>
      </c>
      <c r="H1592" s="12"/>
      <c r="I1592" s="13">
        <v>0</v>
      </c>
      <c r="J1592" s="13">
        <v>0</v>
      </c>
      <c r="K1592" s="14" t="str">
        <f>HYPERLINK("http://twitter.com/download/android","Twitter for Android")</f>
        <v>Twitter for Android</v>
      </c>
      <c r="L1592" s="13">
        <v>54</v>
      </c>
      <c r="M1592" s="13">
        <v>206</v>
      </c>
      <c r="N1592" s="13">
        <v>4</v>
      </c>
      <c r="O1592" s="15"/>
      <c r="P1592" s="6">
        <v>41485.068043981482</v>
      </c>
      <c r="Q1592" s="16" t="s">
        <v>1130</v>
      </c>
      <c r="R1592" s="17" t="s">
        <v>5425</v>
      </c>
      <c r="S1592" s="11" t="s">
        <v>5426</v>
      </c>
      <c r="T1592" s="12"/>
      <c r="U1592" s="10" t="str">
        <f>HYPERLINK("https://pbs.twimg.com/profile_images/981892759371042816/z15v25Fd.jpg","View")</f>
        <v>View</v>
      </c>
    </row>
    <row r="1593" spans="1:21" ht="40.799999999999997">
      <c r="A1593" s="6">
        <v>43437.422430555554</v>
      </c>
      <c r="B1593" s="7" t="str">
        <f>HYPERLINK("https://twitter.com/PUTOPP","@PUTOPP")</f>
        <v>@PUTOPP</v>
      </c>
      <c r="C1593" s="21" t="s">
        <v>5427</v>
      </c>
      <c r="D1593" s="9" t="s">
        <v>5428</v>
      </c>
      <c r="E1593" s="10" t="str">
        <f>HYPERLINK("https://twitter.com/PUTOPP/status/1069518678012633088","1069518678012633088")</f>
        <v>1069518678012633088</v>
      </c>
      <c r="F1593" s="12"/>
      <c r="G1593" s="12"/>
      <c r="H1593" s="12"/>
      <c r="I1593" s="13">
        <v>0</v>
      </c>
      <c r="J1593" s="13">
        <v>0</v>
      </c>
      <c r="K1593" s="14" t="str">
        <f>HYPERLINK("https://www.hootsuite.com","Hootsuite Inc.")</f>
        <v>Hootsuite Inc.</v>
      </c>
      <c r="L1593" s="13">
        <v>285</v>
      </c>
      <c r="M1593" s="13">
        <v>111</v>
      </c>
      <c r="N1593" s="13">
        <v>14</v>
      </c>
      <c r="O1593" s="15"/>
      <c r="P1593" s="6">
        <v>39974.876192129632</v>
      </c>
      <c r="Q1593" s="16" t="s">
        <v>5429</v>
      </c>
      <c r="R1593" s="17" t="s">
        <v>5430</v>
      </c>
      <c r="S1593" s="11" t="s">
        <v>5431</v>
      </c>
      <c r="T1593" s="12"/>
      <c r="U1593" s="10" t="str">
        <f>HYPERLINK("https://pbs.twimg.com/profile_images/1038075049/especial-saludo-Aznar-quien.jpg","View")</f>
        <v>View</v>
      </c>
    </row>
    <row r="1594" spans="1:21" ht="51">
      <c r="A1594" s="6">
        <v>43437.422025462962</v>
      </c>
      <c r="B1594" s="7" t="str">
        <f>HYPERLINK("https://twitter.com/skakeofanzine","@skakeofanzine")</f>
        <v>@skakeofanzine</v>
      </c>
      <c r="C1594" s="8" t="s">
        <v>5432</v>
      </c>
      <c r="D1594" s="9" t="s">
        <v>5433</v>
      </c>
      <c r="E1594" s="10" t="str">
        <f>HYPERLINK("https://twitter.com/skakeofanzine/status/1069518533737021440","1069518533737021440")</f>
        <v>1069518533737021440</v>
      </c>
      <c r="F1594" s="12"/>
      <c r="G1594" s="12"/>
      <c r="H1594" s="12"/>
      <c r="I1594" s="13">
        <v>0</v>
      </c>
      <c r="J1594" s="13">
        <v>0</v>
      </c>
      <c r="K1594" s="14" t="str">
        <f>HYPERLINK("http://twitter.com","Twitter Web Client")</f>
        <v>Twitter Web Client</v>
      </c>
      <c r="L1594" s="13">
        <v>2201</v>
      </c>
      <c r="M1594" s="13">
        <v>1196</v>
      </c>
      <c r="N1594" s="13">
        <v>43</v>
      </c>
      <c r="O1594" s="15"/>
      <c r="P1594" s="6">
        <v>40445.652233796296</v>
      </c>
      <c r="Q1594" s="16" t="s">
        <v>167</v>
      </c>
      <c r="R1594" s="17" t="s">
        <v>5434</v>
      </c>
      <c r="S1594" s="11" t="s">
        <v>5435</v>
      </c>
      <c r="T1594" s="12"/>
      <c r="U1594" s="10" t="str">
        <f>HYPERLINK("https://pbs.twimg.com/profile_images/1130273526/gse_multipart50931.jpg","View")</f>
        <v>View</v>
      </c>
    </row>
    <row r="1595" spans="1:21" ht="40.799999999999997">
      <c r="A1595" s="6">
        <v>43437.420277777783</v>
      </c>
      <c r="B1595" s="7" t="str">
        <f>HYPERLINK("https://twitter.com/BuenosDiasTM","@BuenosDiasTM")</f>
        <v>@BuenosDiasTM</v>
      </c>
      <c r="C1595" s="8" t="s">
        <v>5436</v>
      </c>
      <c r="D1595" s="9" t="s">
        <v>5437</v>
      </c>
      <c r="E1595" s="10" t="str">
        <f>HYPERLINK("https://twitter.com/BuenosDiasTM/status/1069517897108733952","1069517897108733952")</f>
        <v>1069517897108733952</v>
      </c>
      <c r="F1595" s="11" t="s">
        <v>5438</v>
      </c>
      <c r="G1595" s="12"/>
      <c r="H1595" s="12"/>
      <c r="I1595" s="13">
        <v>0</v>
      </c>
      <c r="J1595" s="13">
        <v>1</v>
      </c>
      <c r="K1595" s="14" t="str">
        <f>HYPERLINK("http://dogtrack.es","DogTrack_Oficial")</f>
        <v>DogTrack_Oficial</v>
      </c>
      <c r="L1595" s="13">
        <v>7439</v>
      </c>
      <c r="M1595" s="13">
        <v>508</v>
      </c>
      <c r="N1595" s="13">
        <v>140</v>
      </c>
      <c r="O1595" s="19" t="s">
        <v>44</v>
      </c>
      <c r="P1595" s="6">
        <v>42481.557337962964</v>
      </c>
      <c r="Q1595" s="12"/>
      <c r="R1595" s="17" t="s">
        <v>5439</v>
      </c>
      <c r="S1595" s="11" t="s">
        <v>5440</v>
      </c>
      <c r="T1595" s="12"/>
      <c r="U1595" s="10" t="str">
        <f>HYPERLINK("https://pbs.twimg.com/profile_images/908695237199097856/lkmDoNxh.jpg","View")</f>
        <v>View</v>
      </c>
    </row>
    <row r="1596" spans="1:21" ht="51">
      <c r="A1596" s="6">
        <v>43437.41909722222</v>
      </c>
      <c r="B1596" s="7" t="str">
        <f>HYPERLINK("https://twitter.com/MiguelGTormo","@MiguelGTormo")</f>
        <v>@MiguelGTormo</v>
      </c>
      <c r="C1596" s="8" t="s">
        <v>5442</v>
      </c>
      <c r="D1596" s="9" t="s">
        <v>5443</v>
      </c>
      <c r="E1596" s="10" t="str">
        <f>HYPERLINK("https://twitter.com/MiguelGTormo/status/1069517472162897920","1069517472162897920")</f>
        <v>1069517472162897920</v>
      </c>
      <c r="F1596" s="11" t="s">
        <v>5444</v>
      </c>
      <c r="G1596" s="12"/>
      <c r="H1596" s="12"/>
      <c r="I1596" s="13">
        <v>0</v>
      </c>
      <c r="J1596" s="13">
        <v>1</v>
      </c>
      <c r="K1596" s="14" t="str">
        <f>HYPERLINK("http://twitter.com/download/iphone","Twitter for iPhone")</f>
        <v>Twitter for iPhone</v>
      </c>
      <c r="L1596" s="13">
        <v>1545</v>
      </c>
      <c r="M1596" s="13">
        <v>295</v>
      </c>
      <c r="N1596" s="13">
        <v>42</v>
      </c>
      <c r="O1596" s="15"/>
      <c r="P1596" s="6">
        <v>40730.987280092595</v>
      </c>
      <c r="Q1596" s="16" t="s">
        <v>5447</v>
      </c>
      <c r="R1596" s="17" t="s">
        <v>5448</v>
      </c>
      <c r="S1596" s="12"/>
      <c r="T1596" s="12"/>
      <c r="U1596" s="10" t="str">
        <f>HYPERLINK("https://pbs.twimg.com/profile_images/465258260485115904/6b5U_Dwk.jpeg","View")</f>
        <v>View</v>
      </c>
    </row>
    <row r="1597" spans="1:21" ht="40.799999999999997">
      <c r="A1597" s="6">
        <v>43437.418854166666</v>
      </c>
      <c r="B1597" s="7" t="str">
        <f>HYPERLINK("https://twitter.com/El__Yayo","@El__Yayo")</f>
        <v>@El__Yayo</v>
      </c>
      <c r="C1597" s="8" t="s">
        <v>5450</v>
      </c>
      <c r="D1597" s="9" t="s">
        <v>5451</v>
      </c>
      <c r="E1597" s="10" t="str">
        <f>HYPERLINK("https://twitter.com/El__Yayo/status/1069517383541366786","1069517383541366786")</f>
        <v>1069517383541366786</v>
      </c>
      <c r="F1597" s="12"/>
      <c r="G1597" s="12"/>
      <c r="H1597" s="12"/>
      <c r="I1597" s="13">
        <v>0</v>
      </c>
      <c r="J1597" s="13">
        <v>6</v>
      </c>
      <c r="K1597" s="14" t="str">
        <f>HYPERLINK("http://twitter.com/download/android","Twitter for Android")</f>
        <v>Twitter for Android</v>
      </c>
      <c r="L1597" s="13">
        <v>7840</v>
      </c>
      <c r="M1597" s="13">
        <v>846</v>
      </c>
      <c r="N1597" s="13">
        <v>180</v>
      </c>
      <c r="O1597" s="15"/>
      <c r="P1597" s="6">
        <v>40690.899641203701</v>
      </c>
      <c r="Q1597" s="12"/>
      <c r="R1597" s="17" t="s">
        <v>5454</v>
      </c>
      <c r="S1597" s="12"/>
      <c r="T1597" s="12"/>
      <c r="U1597" s="10" t="str">
        <f>HYPERLINK("https://pbs.twimg.com/profile_images/1070665065253298176/Dd6pLB5J.jpg","View")</f>
        <v>View</v>
      </c>
    </row>
    <row r="1598" spans="1:21" ht="40.799999999999997">
      <c r="A1598" s="6">
        <v>43437.418009259258</v>
      </c>
      <c r="B1598" s="7" t="str">
        <f>HYPERLINK("https://twitter.com/albertoronda","@albertoronda")</f>
        <v>@albertoronda</v>
      </c>
      <c r="C1598" s="8" t="s">
        <v>5455</v>
      </c>
      <c r="D1598" s="9" t="s">
        <v>5456</v>
      </c>
      <c r="E1598" s="10" t="str">
        <f>HYPERLINK("https://twitter.com/albertoronda/status/1069517078137397248","1069517078137397248")</f>
        <v>1069517078137397248</v>
      </c>
      <c r="F1598" s="11" t="s">
        <v>5457</v>
      </c>
      <c r="G1598" s="12"/>
      <c r="H1598" s="12"/>
      <c r="I1598" s="13">
        <v>0</v>
      </c>
      <c r="J1598" s="13">
        <v>0</v>
      </c>
      <c r="K1598" s="14" t="str">
        <f t="shared" ref="K1598:K1599" si="282">HYPERLINK("http://twitter.com/download/iphone","Twitter for iPhone")</f>
        <v>Twitter for iPhone</v>
      </c>
      <c r="L1598" s="13">
        <v>1605</v>
      </c>
      <c r="M1598" s="13">
        <v>1553</v>
      </c>
      <c r="N1598" s="13">
        <v>32</v>
      </c>
      <c r="O1598" s="15"/>
      <c r="P1598" s="6">
        <v>40689.569432870368</v>
      </c>
      <c r="Q1598" s="16" t="s">
        <v>5458</v>
      </c>
      <c r="R1598" s="17" t="s">
        <v>5459</v>
      </c>
      <c r="S1598" s="11" t="s">
        <v>5460</v>
      </c>
      <c r="T1598" s="12"/>
      <c r="U1598" s="10" t="str">
        <f>HYPERLINK("https://pbs.twimg.com/profile_images/1013882958221053954/sCziunPh.jpg","View")</f>
        <v>View</v>
      </c>
    </row>
    <row r="1599" spans="1:21" ht="51">
      <c r="A1599" s="6">
        <v>43437.414178240739</v>
      </c>
      <c r="B1599" s="7" t="str">
        <f>HYPERLINK("https://twitter.com/sergio_espana","@sergio_espana")</f>
        <v>@sergio_espana</v>
      </c>
      <c r="C1599" s="8" t="s">
        <v>5461</v>
      </c>
      <c r="D1599" s="9" t="s">
        <v>5462</v>
      </c>
      <c r="E1599" s="10" t="str">
        <f>HYPERLINK("https://twitter.com/sergio_espana/status/1069515688581218304","1069515688581218304")</f>
        <v>1069515688581218304</v>
      </c>
      <c r="F1599" s="12"/>
      <c r="G1599" s="12"/>
      <c r="H1599" s="12"/>
      <c r="I1599" s="13">
        <v>0</v>
      </c>
      <c r="J1599" s="13">
        <v>0</v>
      </c>
      <c r="K1599" s="14" t="str">
        <f t="shared" si="282"/>
        <v>Twitter for iPhone</v>
      </c>
      <c r="L1599" s="13">
        <v>131</v>
      </c>
      <c r="M1599" s="13">
        <v>634</v>
      </c>
      <c r="N1599" s="13">
        <v>1</v>
      </c>
      <c r="O1599" s="15"/>
      <c r="P1599" s="6">
        <v>40608.78497685185</v>
      </c>
      <c r="Q1599" s="16" t="s">
        <v>5463</v>
      </c>
      <c r="R1599" s="17" t="s">
        <v>5464</v>
      </c>
      <c r="S1599" s="12"/>
      <c r="T1599" s="12"/>
      <c r="U1599" s="10" t="str">
        <f>HYPERLINK("https://pbs.twimg.com/profile_images/873958948478603264/_Sgyl5Q9.jpg","View")</f>
        <v>View</v>
      </c>
    </row>
    <row r="1600" spans="1:21" ht="61.2">
      <c r="A1600" s="6">
        <v>43437.412268518514</v>
      </c>
      <c r="B1600" s="7" t="str">
        <f>HYPERLINK("https://twitter.com/GabrielGarroum","@GabrielGarroum")</f>
        <v>@GabrielGarroum</v>
      </c>
      <c r="C1600" s="8" t="s">
        <v>5465</v>
      </c>
      <c r="D1600" s="9" t="s">
        <v>5466</v>
      </c>
      <c r="E1600" s="10" t="str">
        <f>HYPERLINK("https://twitter.com/GabrielGarroum/status/1069514995602546688","1069514995602546688")</f>
        <v>1069514995602546688</v>
      </c>
      <c r="F1600" s="16" t="s">
        <v>5467</v>
      </c>
      <c r="G1600" s="11" t="s">
        <v>5468</v>
      </c>
      <c r="H1600" s="12"/>
      <c r="I1600" s="13">
        <v>0</v>
      </c>
      <c r="J1600" s="13">
        <v>11</v>
      </c>
      <c r="K1600" s="14" t="str">
        <f>HYPERLINK("http://twitter.com","Twitter Web Client")</f>
        <v>Twitter Web Client</v>
      </c>
      <c r="L1600" s="13">
        <v>5208</v>
      </c>
      <c r="M1600" s="13">
        <v>3796</v>
      </c>
      <c r="N1600" s="13">
        <v>98</v>
      </c>
      <c r="O1600" s="15"/>
      <c r="P1600" s="6">
        <v>40683.710763888885</v>
      </c>
      <c r="Q1600" s="16" t="s">
        <v>5469</v>
      </c>
      <c r="R1600" s="17" t="s">
        <v>5470</v>
      </c>
      <c r="S1600" s="11" t="s">
        <v>5471</v>
      </c>
      <c r="T1600" s="12"/>
      <c r="U1600" s="10" t="str">
        <f>HYPERLINK("https://pbs.twimg.com/profile_images/993532638303588354/tQf8Z67U.jpg","View")</f>
        <v>View</v>
      </c>
    </row>
    <row r="1601" spans="1:21" ht="51">
      <c r="A1601" s="6">
        <v>43437.411944444444</v>
      </c>
      <c r="B1601" s="7" t="str">
        <f>HYPERLINK("https://twitter.com/Carracuca19","@Carracuca19")</f>
        <v>@Carracuca19</v>
      </c>
      <c r="C1601" s="8" t="s">
        <v>5472</v>
      </c>
      <c r="D1601" s="9" t="s">
        <v>5473</v>
      </c>
      <c r="E1601" s="10" t="str">
        <f>HYPERLINK("https://twitter.com/Carracuca19/status/1069514880783458304","1069514880783458304")</f>
        <v>1069514880783458304</v>
      </c>
      <c r="F1601" s="11" t="s">
        <v>5474</v>
      </c>
      <c r="G1601" s="11" t="s">
        <v>5475</v>
      </c>
      <c r="H1601" s="12"/>
      <c r="I1601" s="13">
        <v>0</v>
      </c>
      <c r="J1601" s="13">
        <v>1</v>
      </c>
      <c r="K1601" s="14" t="str">
        <f>HYPERLINK("http://twitter.com/download/iphone","Twitter for iPhone")</f>
        <v>Twitter for iPhone</v>
      </c>
      <c r="L1601" s="13">
        <v>192</v>
      </c>
      <c r="M1601" s="13">
        <v>301</v>
      </c>
      <c r="N1601" s="13">
        <v>0</v>
      </c>
      <c r="O1601" s="15"/>
      <c r="P1601" s="6">
        <v>40687.666087962964</v>
      </c>
      <c r="Q1601" s="16" t="s">
        <v>48</v>
      </c>
      <c r="R1601" s="17" t="s">
        <v>5476</v>
      </c>
      <c r="S1601" s="12"/>
      <c r="T1601" s="12"/>
      <c r="U1601" s="10" t="str">
        <f>HYPERLINK("https://pbs.twimg.com/profile_images/981895621207576577/EGx1Vmrr.jpg","View")</f>
        <v>View</v>
      </c>
    </row>
    <row r="1602" spans="1:21" ht="30.6">
      <c r="A1602" s="6">
        <v>43437.41097222222</v>
      </c>
      <c r="B1602" s="7" t="str">
        <f>HYPERLINK("https://twitter.com/uby77","@uby77")</f>
        <v>@uby77</v>
      </c>
      <c r="C1602" s="8" t="s">
        <v>5477</v>
      </c>
      <c r="D1602" s="9" t="s">
        <v>5478</v>
      </c>
      <c r="E1602" s="10" t="str">
        <f>HYPERLINK("https://twitter.com/uby77/status/1069514527971188736","1069514527971188736")</f>
        <v>1069514527971188736</v>
      </c>
      <c r="F1602" s="11" t="s">
        <v>5479</v>
      </c>
      <c r="G1602" s="12"/>
      <c r="H1602" s="12"/>
      <c r="I1602" s="13">
        <v>1</v>
      </c>
      <c r="J1602" s="13">
        <v>4</v>
      </c>
      <c r="K1602" s="14" t="str">
        <f>HYPERLINK("http://twitter.com/download/android","Twitter for Android")</f>
        <v>Twitter for Android</v>
      </c>
      <c r="L1602" s="13">
        <v>2502</v>
      </c>
      <c r="M1602" s="13">
        <v>2458</v>
      </c>
      <c r="N1602" s="13">
        <v>35</v>
      </c>
      <c r="O1602" s="15"/>
      <c r="P1602" s="6">
        <v>40520.854143518518</v>
      </c>
      <c r="Q1602" s="16" t="s">
        <v>5480</v>
      </c>
      <c r="R1602" s="17" t="s">
        <v>5481</v>
      </c>
      <c r="S1602" s="12"/>
      <c r="T1602" s="12"/>
      <c r="U1602" s="10" t="str">
        <f>HYPERLINK("https://pbs.twimg.com/profile_images/772800238314807296/-693ozG3.jpg","View")</f>
        <v>View</v>
      </c>
    </row>
    <row r="1603" spans="1:21" ht="20.399999999999999">
      <c r="A1603" s="6">
        <v>43437.407754629632</v>
      </c>
      <c r="B1603" s="7" t="str">
        <f>HYPERLINK("https://twitter.com/bogandoporlared","@bogandoporlared")</f>
        <v>@bogandoporlared</v>
      </c>
      <c r="C1603" s="8" t="s">
        <v>5482</v>
      </c>
      <c r="D1603" s="9" t="s">
        <v>5483</v>
      </c>
      <c r="E1603" s="10" t="str">
        <f>HYPERLINK("https://twitter.com/bogandoporlared/status/1069513358964076544","1069513358964076544")</f>
        <v>1069513358964076544</v>
      </c>
      <c r="F1603" s="11" t="s">
        <v>5484</v>
      </c>
      <c r="G1603" s="12"/>
      <c r="H1603" s="12"/>
      <c r="I1603" s="13">
        <v>0</v>
      </c>
      <c r="J1603" s="13">
        <v>0</v>
      </c>
      <c r="K1603" s="14" t="str">
        <f t="shared" ref="K1603:K1604" si="283">HYPERLINK("http://www.facebook.com/twitter","Facebook")</f>
        <v>Facebook</v>
      </c>
      <c r="L1603" s="13">
        <v>737</v>
      </c>
      <c r="M1603" s="13">
        <v>27</v>
      </c>
      <c r="N1603" s="13">
        <v>34</v>
      </c>
      <c r="O1603" s="15"/>
      <c r="P1603" s="6">
        <v>40144.605543981481</v>
      </c>
      <c r="Q1603" s="16" t="s">
        <v>3806</v>
      </c>
      <c r="R1603" s="17" t="s">
        <v>5485</v>
      </c>
      <c r="S1603" s="11" t="s">
        <v>5486</v>
      </c>
      <c r="T1603" s="12"/>
      <c r="U1603" s="10" t="str">
        <f>HYPERLINK("https://pbs.twimg.com/profile_images/427049208760135680/t-yVFstd.jpeg","View")</f>
        <v>View</v>
      </c>
    </row>
    <row r="1604" spans="1:21" ht="30.6">
      <c r="A1604" s="6">
        <v>43437.406840277778</v>
      </c>
      <c r="B1604" s="7" t="str">
        <f>HYPERLINK("https://twitter.com/bcn2day","@bcn2day")</f>
        <v>@bcn2day</v>
      </c>
      <c r="C1604" s="8" t="s">
        <v>3917</v>
      </c>
      <c r="D1604" s="9" t="s">
        <v>5487</v>
      </c>
      <c r="E1604" s="10" t="str">
        <f>HYPERLINK("https://twitter.com/bcn2day/status/1069513031229558784","1069513031229558784")</f>
        <v>1069513031229558784</v>
      </c>
      <c r="F1604" s="11" t="s">
        <v>5488</v>
      </c>
      <c r="G1604" s="12"/>
      <c r="H1604" s="12"/>
      <c r="I1604" s="13">
        <v>0</v>
      </c>
      <c r="J1604" s="13">
        <v>0</v>
      </c>
      <c r="K1604" s="14" t="str">
        <f t="shared" si="283"/>
        <v>Facebook</v>
      </c>
      <c r="L1604" s="13">
        <v>61</v>
      </c>
      <c r="M1604" s="13">
        <v>10</v>
      </c>
      <c r="N1604" s="13">
        <v>1</v>
      </c>
      <c r="O1604" s="15"/>
      <c r="P1604" s="6">
        <v>42264.120567129634</v>
      </c>
      <c r="Q1604" s="12"/>
      <c r="R1604" s="20"/>
      <c r="S1604" s="12"/>
      <c r="T1604" s="12"/>
      <c r="U1604" s="10" t="str">
        <f>HYPERLINK("https://pbs.twimg.com/profile_images/644504700356816896/LMbKA-C7.jpg","View")</f>
        <v>View</v>
      </c>
    </row>
    <row r="1605" spans="1:21" ht="30.6">
      <c r="A1605" s="6">
        <v>43437.405069444445</v>
      </c>
      <c r="B1605" s="7" t="str">
        <f>HYPERLINK("https://twitter.com/FrancescBetbe","@FrancescBetbe")</f>
        <v>@FrancescBetbe</v>
      </c>
      <c r="C1605" s="8" t="s">
        <v>5489</v>
      </c>
      <c r="D1605" s="9" t="s">
        <v>5490</v>
      </c>
      <c r="E1605" s="10" t="str">
        <f>HYPERLINK("https://twitter.com/FrancescBetbe/status/1069512386346958849","1069512386346958849")</f>
        <v>1069512386346958849</v>
      </c>
      <c r="F1605" s="12"/>
      <c r="G1605" s="12"/>
      <c r="H1605" s="12"/>
      <c r="I1605" s="13">
        <v>0</v>
      </c>
      <c r="J1605" s="13">
        <v>0</v>
      </c>
      <c r="K1605" s="14" t="str">
        <f>HYPERLINK("http://twitter.com/download/android","Twitter for Android")</f>
        <v>Twitter for Android</v>
      </c>
      <c r="L1605" s="13">
        <v>142</v>
      </c>
      <c r="M1605" s="13">
        <v>119</v>
      </c>
      <c r="N1605" s="13">
        <v>2</v>
      </c>
      <c r="O1605" s="15"/>
      <c r="P1605" s="6">
        <v>42783.403368055559</v>
      </c>
      <c r="Q1605" s="12"/>
      <c r="R1605" s="17" t="s">
        <v>5491</v>
      </c>
      <c r="S1605" s="12"/>
      <c r="T1605" s="12"/>
      <c r="U1605" s="10" t="str">
        <f>HYPERLINK("https://pbs.twimg.com/profile_images/992113449944735745/bR4vREhm.jpg","View")</f>
        <v>View</v>
      </c>
    </row>
    <row r="1606" spans="1:21" ht="30.6">
      <c r="A1606" s="6">
        <v>43437.39126157407</v>
      </c>
      <c r="B1606" s="7" t="str">
        <f>HYPERLINK("https://twitter.com/marianofake","@marianofake")</f>
        <v>@marianofake</v>
      </c>
      <c r="C1606" s="8" t="s">
        <v>1715</v>
      </c>
      <c r="D1606" s="9" t="s">
        <v>5492</v>
      </c>
      <c r="E1606" s="10" t="str">
        <f>HYPERLINK("https://twitter.com/marianofake/status/1069507383792156672","1069507383792156672")</f>
        <v>1069507383792156672</v>
      </c>
      <c r="F1606" s="12"/>
      <c r="G1606" s="12"/>
      <c r="H1606" s="12"/>
      <c r="I1606" s="13">
        <v>3</v>
      </c>
      <c r="J1606" s="13">
        <v>1</v>
      </c>
      <c r="K1606" s="14" t="str">
        <f>HYPERLINK("http://twitter.com","Twitter Web Client")</f>
        <v>Twitter Web Client</v>
      </c>
      <c r="L1606" s="13">
        <v>6144</v>
      </c>
      <c r="M1606" s="13">
        <v>3153</v>
      </c>
      <c r="N1606" s="13">
        <v>19</v>
      </c>
      <c r="O1606" s="15"/>
      <c r="P1606" s="6">
        <v>42101.675752314812</v>
      </c>
      <c r="Q1606" s="12"/>
      <c r="R1606" s="17" t="s">
        <v>1721</v>
      </c>
      <c r="S1606" s="12"/>
      <c r="T1606" s="12"/>
      <c r="U1606" s="10" t="str">
        <f>HYPERLINK("https://pbs.twimg.com/profile_images/865123852795367424/p4pK2M21.jpg","View")</f>
        <v>View</v>
      </c>
    </row>
    <row r="1607" spans="1:21" ht="20.399999999999999">
      <c r="A1607" s="6">
        <v>43437.389178240745</v>
      </c>
      <c r="B1607" s="7" t="str">
        <f>HYPERLINK("https://twitter.com/elwarito","@elwarito")</f>
        <v>@elwarito</v>
      </c>
      <c r="C1607" s="8" t="s">
        <v>5493</v>
      </c>
      <c r="D1607" s="9" t="s">
        <v>5494</v>
      </c>
      <c r="E1607" s="10" t="str">
        <f>HYPERLINK("https://twitter.com/elwarito/status/1069506628880347136","1069506628880347136")</f>
        <v>1069506628880347136</v>
      </c>
      <c r="F1607" s="11" t="s">
        <v>2647</v>
      </c>
      <c r="G1607" s="12"/>
      <c r="H1607" s="12"/>
      <c r="I1607" s="13">
        <v>0</v>
      </c>
      <c r="J1607" s="13">
        <v>0</v>
      </c>
      <c r="K1607" s="14" t="str">
        <f>HYPERLINK("https://www.google.com/","Google")</f>
        <v>Google</v>
      </c>
      <c r="L1607" s="13">
        <v>466</v>
      </c>
      <c r="M1607" s="13">
        <v>2294</v>
      </c>
      <c r="N1607" s="13">
        <v>2</v>
      </c>
      <c r="O1607" s="15"/>
      <c r="P1607" s="6">
        <v>40421.218344907407</v>
      </c>
      <c r="Q1607" s="16" t="s">
        <v>5495</v>
      </c>
      <c r="R1607" s="20"/>
      <c r="S1607" s="12"/>
      <c r="T1607" s="12"/>
      <c r="U1607" s="10" t="str">
        <f>HYPERLINK("https://pbs.twimg.com/profile_images/1114276371/GetAttachment.jpg","View")</f>
        <v>View</v>
      </c>
    </row>
    <row r="1608" spans="1:21" ht="40.799999999999997">
      <c r="A1608" s="6">
        <v>43437.387002314819</v>
      </c>
      <c r="B1608" s="7" t="str">
        <f>HYPERLINK("https://twitter.com/Vissibles","@Vissibles")</f>
        <v>@Vissibles</v>
      </c>
      <c r="C1608" s="8" t="s">
        <v>5496</v>
      </c>
      <c r="D1608" s="9" t="s">
        <v>5497</v>
      </c>
      <c r="E1608" s="10" t="str">
        <f>HYPERLINK("https://twitter.com/Vissibles/status/1069505839705321472","1069505839705321472")</f>
        <v>1069505839705321472</v>
      </c>
      <c r="F1608" s="12"/>
      <c r="G1608" s="12"/>
      <c r="H1608" s="12"/>
      <c r="I1608" s="13">
        <v>0</v>
      </c>
      <c r="J1608" s="13">
        <v>0</v>
      </c>
      <c r="K1608" s="14" t="str">
        <f>HYPERLINK("http://twitter.com/download/iphone","Twitter for iPhone")</f>
        <v>Twitter for iPhone</v>
      </c>
      <c r="L1608" s="13">
        <v>5463</v>
      </c>
      <c r="M1608" s="13">
        <v>3481</v>
      </c>
      <c r="N1608" s="13">
        <v>156</v>
      </c>
      <c r="O1608" s="15"/>
      <c r="P1608" s="6">
        <v>40779.90452546296</v>
      </c>
      <c r="Q1608" s="12"/>
      <c r="R1608" s="17" t="s">
        <v>5498</v>
      </c>
      <c r="S1608" s="11" t="s">
        <v>5499</v>
      </c>
      <c r="T1608" s="12"/>
      <c r="U1608" s="10" t="str">
        <f>HYPERLINK("https://pbs.twimg.com/profile_images/914886256626163713/RoSEPAeH.jpg","View")</f>
        <v>View</v>
      </c>
    </row>
    <row r="1609" spans="1:21" ht="20.399999999999999">
      <c r="A1609" s="6">
        <v>43437.386307870373</v>
      </c>
      <c r="B1609" s="7" t="str">
        <f>HYPERLINK("https://twitter.com/no0maswhisky","@no0maswhisky")</f>
        <v>@no0maswhisky</v>
      </c>
      <c r="C1609" s="8" t="s">
        <v>5500</v>
      </c>
      <c r="D1609" s="9" t="s">
        <v>5501</v>
      </c>
      <c r="E1609" s="10" t="str">
        <f>HYPERLINK("https://twitter.com/no0maswhisky/status/1069505587577331712","1069505587577331712")</f>
        <v>1069505587577331712</v>
      </c>
      <c r="F1609" s="12"/>
      <c r="G1609" s="12"/>
      <c r="H1609" s="12"/>
      <c r="I1609" s="13">
        <v>0</v>
      </c>
      <c r="J1609" s="13">
        <v>0</v>
      </c>
      <c r="K1609" s="14" t="str">
        <f>HYPERLINK("http://twitter.com/download/android","Twitter for Android")</f>
        <v>Twitter for Android</v>
      </c>
      <c r="L1609" s="13">
        <v>165</v>
      </c>
      <c r="M1609" s="13">
        <v>208</v>
      </c>
      <c r="N1609" s="13">
        <v>2</v>
      </c>
      <c r="O1609" s="15"/>
      <c r="P1609" s="6">
        <v>40439.00304398148</v>
      </c>
      <c r="Q1609" s="16" t="s">
        <v>5502</v>
      </c>
      <c r="R1609" s="17" t="s">
        <v>5503</v>
      </c>
      <c r="S1609" s="12"/>
      <c r="T1609" s="12"/>
      <c r="U1609" s="10" t="str">
        <f>HYPERLINK("https://pbs.twimg.com/profile_images/741018974322839552/fFU4eKAp.jpg","View")</f>
        <v>View</v>
      </c>
    </row>
    <row r="1610" spans="1:21" ht="40.799999999999997">
      <c r="A1610" s="6">
        <v>43437.383668981478</v>
      </c>
      <c r="B1610" s="7" t="str">
        <f>HYPERLINK("https://twitter.com/JRRMundo","@JRRMundo")</f>
        <v>@JRRMundo</v>
      </c>
      <c r="C1610" s="8" t="s">
        <v>5504</v>
      </c>
      <c r="D1610" s="9" t="s">
        <v>5505</v>
      </c>
      <c r="E1610" s="10" t="str">
        <f>HYPERLINK("https://twitter.com/JRRMundo/status/1069504631259172864","1069504631259172864")</f>
        <v>1069504631259172864</v>
      </c>
      <c r="F1610" s="11" t="s">
        <v>5506</v>
      </c>
      <c r="G1610" s="12"/>
      <c r="H1610" s="12"/>
      <c r="I1610" s="13">
        <v>0</v>
      </c>
      <c r="J1610" s="13">
        <v>0</v>
      </c>
      <c r="K1610" s="14" t="str">
        <f>HYPERLINK("http://twitter.com","Twitter Web Client")</f>
        <v>Twitter Web Client</v>
      </c>
      <c r="L1610" s="13">
        <v>1262</v>
      </c>
      <c r="M1610" s="13">
        <v>4573</v>
      </c>
      <c r="N1610" s="13">
        <v>0</v>
      </c>
      <c r="O1610" s="15"/>
      <c r="P1610" s="6">
        <v>43157.74900462963</v>
      </c>
      <c r="Q1610" s="16" t="s">
        <v>5507</v>
      </c>
      <c r="R1610" s="17" t="s">
        <v>5508</v>
      </c>
      <c r="S1610" s="11" t="s">
        <v>5509</v>
      </c>
      <c r="T1610" s="12"/>
      <c r="U1610" s="10" t="str">
        <f>HYPERLINK("https://pbs.twimg.com/profile_images/1058099443847831552/Rou2nm1E.jpg","View")</f>
        <v>View</v>
      </c>
    </row>
    <row r="1611" spans="1:21" ht="51">
      <c r="A1611" s="6">
        <v>43437.383414351847</v>
      </c>
      <c r="B1611" s="7" t="str">
        <f>HYPERLINK("https://twitter.com/MENTEMODOTETRIS","@MENTEMODOTETRIS")</f>
        <v>@MENTEMODOTETRIS</v>
      </c>
      <c r="C1611" s="8" t="s">
        <v>5510</v>
      </c>
      <c r="D1611" s="9" t="s">
        <v>5511</v>
      </c>
      <c r="E1611" s="10" t="str">
        <f>HYPERLINK("https://twitter.com/MENTEMODOTETRIS/status/1069504539261317120","1069504539261317120")</f>
        <v>1069504539261317120</v>
      </c>
      <c r="F1611" s="12"/>
      <c r="G1611" s="12"/>
      <c r="H1611" s="12"/>
      <c r="I1611" s="13">
        <v>0</v>
      </c>
      <c r="J1611" s="13">
        <v>3</v>
      </c>
      <c r="K1611" s="14" t="str">
        <f>HYPERLINK("http://twitter.com/download/android","Twitter for Android")</f>
        <v>Twitter for Android</v>
      </c>
      <c r="L1611" s="13">
        <v>720</v>
      </c>
      <c r="M1611" s="13">
        <v>179</v>
      </c>
      <c r="N1611" s="13">
        <v>5</v>
      </c>
      <c r="O1611" s="15"/>
      <c r="P1611" s="6">
        <v>42763.993310185186</v>
      </c>
      <c r="Q1611" s="16" t="s">
        <v>5512</v>
      </c>
      <c r="R1611" s="17" t="s">
        <v>5513</v>
      </c>
      <c r="S1611" s="12"/>
      <c r="T1611" s="12"/>
      <c r="U1611" s="10" t="str">
        <f>HYPERLINK("https://pbs.twimg.com/profile_images/1059225230349123584/98jh_exr.jpg","View")</f>
        <v>View</v>
      </c>
    </row>
    <row r="1612" spans="1:21" ht="13.2">
      <c r="A1612" s="6">
        <v>43437.380601851852</v>
      </c>
      <c r="B1612" s="7" t="str">
        <f>HYPERLINK("https://twitter.com/PeioHR","@PeioHR")</f>
        <v>@PeioHR</v>
      </c>
      <c r="C1612" s="8" t="s">
        <v>5514</v>
      </c>
      <c r="D1612" s="9" t="s">
        <v>5515</v>
      </c>
      <c r="E1612" s="10" t="str">
        <f>HYPERLINK("https://twitter.com/PeioHR/status/1069503519953170432","1069503519953170432")</f>
        <v>1069503519953170432</v>
      </c>
      <c r="F1612" s="12"/>
      <c r="G1612" s="11" t="s">
        <v>5516</v>
      </c>
      <c r="H1612" s="12"/>
      <c r="I1612" s="13">
        <v>0</v>
      </c>
      <c r="J1612" s="13">
        <v>1</v>
      </c>
      <c r="K1612" s="14" t="str">
        <f>HYPERLINK("http://twitter.com","Twitter Web Client")</f>
        <v>Twitter Web Client</v>
      </c>
      <c r="L1612" s="13">
        <v>12362</v>
      </c>
      <c r="M1612" s="13">
        <v>497</v>
      </c>
      <c r="N1612" s="13">
        <v>360</v>
      </c>
      <c r="O1612" s="15"/>
      <c r="P1612" s="6">
        <v>41008.866805555554</v>
      </c>
      <c r="Q1612" s="12"/>
      <c r="R1612" s="17" t="s">
        <v>5517</v>
      </c>
      <c r="S1612" s="12"/>
      <c r="T1612" s="12"/>
      <c r="U1612" s="10" t="str">
        <f>HYPERLINK("https://pbs.twimg.com/profile_images/1014228137348091905/Abb9Iab3.jpg","View")</f>
        <v>View</v>
      </c>
    </row>
    <row r="1613" spans="1:21" ht="51">
      <c r="A1613" s="6">
        <v>43437.377384259264</v>
      </c>
      <c r="B1613" s="7" t="str">
        <f>HYPERLINK("https://twitter.com/Cordoba24h","@Cordoba24h")</f>
        <v>@Cordoba24h</v>
      </c>
      <c r="C1613" s="8" t="s">
        <v>3244</v>
      </c>
      <c r="D1613" s="9" t="s">
        <v>5518</v>
      </c>
      <c r="E1613" s="10" t="str">
        <f>HYPERLINK("https://twitter.com/Cordoba24h/status/1069502353999634434","1069502353999634434")</f>
        <v>1069502353999634434</v>
      </c>
      <c r="F1613" s="11" t="s">
        <v>5519</v>
      </c>
      <c r="G1613" s="12"/>
      <c r="H1613" s="12"/>
      <c r="I1613" s="13">
        <v>0</v>
      </c>
      <c r="J1613" s="13">
        <v>0</v>
      </c>
      <c r="K1613" s="14" t="str">
        <f>HYPERLINK("https://ifttt.com","IFTTT")</f>
        <v>IFTTT</v>
      </c>
      <c r="L1613" s="13">
        <v>112</v>
      </c>
      <c r="M1613" s="13">
        <v>359</v>
      </c>
      <c r="N1613" s="13">
        <v>6</v>
      </c>
      <c r="O1613" s="15"/>
      <c r="P1613" s="6">
        <v>42891.716724537036</v>
      </c>
      <c r="Q1613" s="16" t="s">
        <v>3247</v>
      </c>
      <c r="R1613" s="17" t="s">
        <v>3248</v>
      </c>
      <c r="S1613" s="11" t="s">
        <v>3249</v>
      </c>
      <c r="T1613" s="12"/>
      <c r="U1613" s="10" t="str">
        <f>HYPERLINK("https://pbs.twimg.com/profile_images/1061406688652247041/XX0TxjU5.jpg","View")</f>
        <v>View</v>
      </c>
    </row>
    <row r="1614" spans="1:21" ht="40.799999999999997">
      <c r="A1614" s="6">
        <v>43437.375949074078</v>
      </c>
      <c r="B1614" s="7" t="str">
        <f>HYPERLINK("https://twitter.com/prnoticias","@prnoticias")</f>
        <v>@prnoticias</v>
      </c>
      <c r="C1614" s="8" t="s">
        <v>5520</v>
      </c>
      <c r="D1614" s="9" t="s">
        <v>5521</v>
      </c>
      <c r="E1614" s="10" t="str">
        <f>HYPERLINK("https://twitter.com/prnoticias/status/1069501833591353345","1069501833591353345")</f>
        <v>1069501833591353345</v>
      </c>
      <c r="F1614" s="11" t="s">
        <v>5522</v>
      </c>
      <c r="G1614" s="11" t="s">
        <v>5523</v>
      </c>
      <c r="H1614" s="12"/>
      <c r="I1614" s="13">
        <v>0</v>
      </c>
      <c r="J1614" s="13">
        <v>0</v>
      </c>
      <c r="K1614" s="14" t="str">
        <f>HYPERLINK("http://twitter.com","Twitter Web Client")</f>
        <v>Twitter Web Client</v>
      </c>
      <c r="L1614" s="13">
        <v>77995</v>
      </c>
      <c r="M1614" s="13">
        <v>1714</v>
      </c>
      <c r="N1614" s="13">
        <v>4024</v>
      </c>
      <c r="O1614" s="19" t="s">
        <v>44</v>
      </c>
      <c r="P1614" s="6">
        <v>39903.574907407405</v>
      </c>
      <c r="Q1614" s="16" t="s">
        <v>232</v>
      </c>
      <c r="R1614" s="17" t="s">
        <v>5524</v>
      </c>
      <c r="S1614" s="11" t="s">
        <v>5525</v>
      </c>
      <c r="T1614" s="12"/>
      <c r="U1614" s="10" t="str">
        <f>HYPERLINK("https://pbs.twimg.com/profile_images/881787674121646083/28sl70F7.jpg","View")</f>
        <v>View</v>
      </c>
    </row>
    <row r="1615" spans="1:21" ht="30.6">
      <c r="A1615" s="6">
        <v>43437.375578703708</v>
      </c>
      <c r="B1615" s="7" t="str">
        <f>HYPERLINK("https://twitter.com/Marzal_80","@Marzal_80")</f>
        <v>@Marzal_80</v>
      </c>
      <c r="C1615" s="8" t="s">
        <v>4936</v>
      </c>
      <c r="D1615" s="9" t="s">
        <v>5526</v>
      </c>
      <c r="E1615" s="10" t="str">
        <f>HYPERLINK("https://twitter.com/Marzal_80/status/1069501701856604161","1069501701856604161")</f>
        <v>1069501701856604161</v>
      </c>
      <c r="F1615" s="12"/>
      <c r="G1615" s="12"/>
      <c r="H1615" s="12"/>
      <c r="I1615" s="13">
        <v>1</v>
      </c>
      <c r="J1615" s="13">
        <v>0</v>
      </c>
      <c r="K1615" s="14" t="str">
        <f>HYPERLINK("http://twitter.com/download/iphone","Twitter for iPhone")</f>
        <v>Twitter for iPhone</v>
      </c>
      <c r="L1615" s="13">
        <v>879</v>
      </c>
      <c r="M1615" s="13">
        <v>106</v>
      </c>
      <c r="N1615" s="13">
        <v>2</v>
      </c>
      <c r="O1615" s="15"/>
      <c r="P1615" s="6">
        <v>43386.657442129625</v>
      </c>
      <c r="Q1615" s="16" t="s">
        <v>4938</v>
      </c>
      <c r="R1615" s="17" t="s">
        <v>4939</v>
      </c>
      <c r="S1615" s="12"/>
      <c r="T1615" s="12"/>
      <c r="U1615" s="10" t="str">
        <f>HYPERLINK("https://pbs.twimg.com/profile_images/1054121555272392706/p7rnmoKe.jpg","View")</f>
        <v>View</v>
      </c>
    </row>
    <row r="1616" spans="1:21" ht="30.6">
      <c r="A1616" s="6">
        <v>43437.375</v>
      </c>
      <c r="B1616" s="7" t="str">
        <f>HYPERLINK("https://twitter.com/los_replicantes","@los_replicantes")</f>
        <v>@los_replicantes</v>
      </c>
      <c r="C1616" s="8" t="s">
        <v>5527</v>
      </c>
      <c r="D1616" s="9" t="s">
        <v>5528</v>
      </c>
      <c r="E1616" s="10" t="str">
        <f>HYPERLINK("https://twitter.com/los_replicantes/status/1069501490555953152","1069501490555953152")</f>
        <v>1069501490555953152</v>
      </c>
      <c r="F1616" s="11" t="s">
        <v>5529</v>
      </c>
      <c r="G1616" s="11" t="s">
        <v>5530</v>
      </c>
      <c r="H1616" s="12"/>
      <c r="I1616" s="13">
        <v>0</v>
      </c>
      <c r="J1616" s="13">
        <v>0</v>
      </c>
      <c r="K1616" s="14" t="str">
        <f t="shared" ref="K1616:K1617" si="284">HYPERLINK("https://about.twitter.com/products/tweetdeck","TweetDeck")</f>
        <v>TweetDeck</v>
      </c>
      <c r="L1616" s="13">
        <v>11882</v>
      </c>
      <c r="M1616" s="13">
        <v>271</v>
      </c>
      <c r="N1616" s="13">
        <v>223</v>
      </c>
      <c r="O1616" s="15"/>
      <c r="P1616" s="6">
        <v>40252.517604166671</v>
      </c>
      <c r="Q1616" s="12"/>
      <c r="R1616" s="17" t="s">
        <v>5531</v>
      </c>
      <c r="S1616" s="11" t="s">
        <v>5532</v>
      </c>
      <c r="T1616" s="12"/>
      <c r="U1616" s="10" t="str">
        <f>HYPERLINK("https://pbs.twimg.com/profile_images/1018872125698998272/CSELtZwH.jpg","View")</f>
        <v>View</v>
      </c>
    </row>
    <row r="1617" spans="1:21" ht="30.6">
      <c r="A1617" s="6">
        <v>43437.369432870371</v>
      </c>
      <c r="B1617" s="7" t="str">
        <f>HYPERLINK("https://twitter.com/EPNacional","@EPNacional")</f>
        <v>@EPNacional</v>
      </c>
      <c r="C1617" s="8" t="s">
        <v>5533</v>
      </c>
      <c r="D1617" s="9" t="s">
        <v>5534</v>
      </c>
      <c r="E1617" s="10" t="str">
        <f>HYPERLINK("https://twitter.com/EPNacional/status/1069499473309720576","1069499473309720576")</f>
        <v>1069499473309720576</v>
      </c>
      <c r="F1617" s="11" t="s">
        <v>5536</v>
      </c>
      <c r="G1617" s="11" t="s">
        <v>5537</v>
      </c>
      <c r="H1617" s="12"/>
      <c r="I1617" s="13">
        <v>1</v>
      </c>
      <c r="J1617" s="13">
        <v>2</v>
      </c>
      <c r="K1617" s="14" t="str">
        <f t="shared" si="284"/>
        <v>TweetDeck</v>
      </c>
      <c r="L1617" s="13">
        <v>10779</v>
      </c>
      <c r="M1617" s="13">
        <v>128</v>
      </c>
      <c r="N1617" s="13">
        <v>239</v>
      </c>
      <c r="O1617" s="19" t="s">
        <v>44</v>
      </c>
      <c r="P1617" s="6">
        <v>41708.447858796295</v>
      </c>
      <c r="Q1617" s="12"/>
      <c r="R1617" s="17" t="s">
        <v>5538</v>
      </c>
      <c r="S1617" s="11" t="s">
        <v>5539</v>
      </c>
      <c r="T1617" s="12"/>
      <c r="U1617" s="10" t="str">
        <f>HYPERLINK("https://pbs.twimg.com/profile_images/877113547158847488/eIlueLsb.jpg","View")</f>
        <v>View</v>
      </c>
    </row>
    <row r="1618" spans="1:21" ht="20.399999999999999">
      <c r="A1618" s="6">
        <v>43437.369097222225</v>
      </c>
      <c r="B1618" s="7" t="str">
        <f>HYPERLINK("https://twitter.com/marianofake","@marianofake")</f>
        <v>@marianofake</v>
      </c>
      <c r="C1618" s="8" t="s">
        <v>1715</v>
      </c>
      <c r="D1618" s="9" t="s">
        <v>5540</v>
      </c>
      <c r="E1618" s="10" t="str">
        <f>HYPERLINK("https://twitter.com/marianofake/status/1069499351851036673","1069499351851036673")</f>
        <v>1069499351851036673</v>
      </c>
      <c r="F1618" s="12"/>
      <c r="G1618" s="12"/>
      <c r="H1618" s="12"/>
      <c r="I1618" s="13">
        <v>35</v>
      </c>
      <c r="J1618" s="13">
        <v>48</v>
      </c>
      <c r="K1618" s="14" t="str">
        <f>HYPERLINK("http://twitter.com","Twitter Web Client")</f>
        <v>Twitter Web Client</v>
      </c>
      <c r="L1618" s="13">
        <v>6144</v>
      </c>
      <c r="M1618" s="13">
        <v>3153</v>
      </c>
      <c r="N1618" s="13">
        <v>19</v>
      </c>
      <c r="O1618" s="15"/>
      <c r="P1618" s="6">
        <v>42101.675752314812</v>
      </c>
      <c r="Q1618" s="12"/>
      <c r="R1618" s="17" t="s">
        <v>1721</v>
      </c>
      <c r="S1618" s="12"/>
      <c r="T1618" s="12"/>
      <c r="U1618" s="10" t="str">
        <f>HYPERLINK("https://pbs.twimg.com/profile_images/865123852795367424/p4pK2M21.jpg","View")</f>
        <v>View</v>
      </c>
    </row>
    <row r="1619" spans="1:21" ht="51">
      <c r="A1619" s="6">
        <v>43437.367476851854</v>
      </c>
      <c r="B1619" s="7" t="str">
        <f>HYPERLINK("https://twitter.com/xlman","@xlman")</f>
        <v>@xlman</v>
      </c>
      <c r="C1619" s="8" t="s">
        <v>5541</v>
      </c>
      <c r="D1619" s="9" t="s">
        <v>5542</v>
      </c>
      <c r="E1619" s="10" t="str">
        <f>HYPERLINK("https://twitter.com/xlman/status/1069498763364970497","1069498763364970497")</f>
        <v>1069498763364970497</v>
      </c>
      <c r="F1619" s="12"/>
      <c r="G1619" s="12"/>
      <c r="H1619" s="12"/>
      <c r="I1619" s="13">
        <v>0</v>
      </c>
      <c r="J1619" s="13">
        <v>0</v>
      </c>
      <c r="K1619" s="14" t="str">
        <f>HYPERLINK("http://twitter.com/download/android","Twitter for Android")</f>
        <v>Twitter for Android</v>
      </c>
      <c r="L1619" s="13">
        <v>55</v>
      </c>
      <c r="M1619" s="13">
        <v>215</v>
      </c>
      <c r="N1619" s="13">
        <v>4</v>
      </c>
      <c r="O1619" s="15"/>
      <c r="P1619" s="6">
        <v>39178.800821759258</v>
      </c>
      <c r="Q1619" s="16" t="s">
        <v>86</v>
      </c>
      <c r="R1619" s="17" t="s">
        <v>5543</v>
      </c>
      <c r="S1619" s="12"/>
      <c r="T1619" s="12"/>
      <c r="U1619" s="10" t="str">
        <f>HYPERLINK("https://pbs.twimg.com/profile_images/1060687017602899969/H1UDlMm3.jpg","View")</f>
        <v>View</v>
      </c>
    </row>
    <row r="1620" spans="1:21" ht="61.2">
      <c r="A1620" s="6">
        <v>43437.366400462968</v>
      </c>
      <c r="B1620" s="7" t="str">
        <f>HYPERLINK("https://twitter.com/MarisaDotCom","@MarisaDotCom")</f>
        <v>@MarisaDotCom</v>
      </c>
      <c r="C1620" s="8" t="s">
        <v>5544</v>
      </c>
      <c r="D1620" s="9" t="s">
        <v>5545</v>
      </c>
      <c r="E1620" s="10" t="str">
        <f>HYPERLINK("https://twitter.com/MarisaDotCom/status/1069498373294759936","1069498373294759936")</f>
        <v>1069498373294759936</v>
      </c>
      <c r="F1620" s="16" t="s">
        <v>5546</v>
      </c>
      <c r="G1620" s="12"/>
      <c r="H1620" s="12"/>
      <c r="I1620" s="13">
        <v>0</v>
      </c>
      <c r="J1620" s="13">
        <v>0</v>
      </c>
      <c r="K1620" s="14" t="str">
        <f>HYPERLINK("http://twitter.com/download/iphone","Twitter for iPhone")</f>
        <v>Twitter for iPhone</v>
      </c>
      <c r="L1620" s="13">
        <v>445</v>
      </c>
      <c r="M1620" s="13">
        <v>490</v>
      </c>
      <c r="N1620" s="13">
        <v>13</v>
      </c>
      <c r="O1620" s="15"/>
      <c r="P1620" s="6">
        <v>40601.829444444447</v>
      </c>
      <c r="Q1620" s="16" t="s">
        <v>2165</v>
      </c>
      <c r="R1620" s="17" t="s">
        <v>5547</v>
      </c>
      <c r="S1620" s="12"/>
      <c r="T1620" s="12"/>
      <c r="U1620" s="10" t="str">
        <f>HYPERLINK("https://pbs.twimg.com/profile_images/985262065525972992/jKV54gVd.jpg","View")</f>
        <v>View</v>
      </c>
    </row>
    <row r="1621" spans="1:21" ht="13.2">
      <c r="A1621" s="6">
        <v>43437.36273148148</v>
      </c>
      <c r="B1621" s="7" t="str">
        <f>HYPERLINK("https://twitter.com/luciaherranz_","@luciaherranz_")</f>
        <v>@luciaherranz_</v>
      </c>
      <c r="C1621" s="8" t="s">
        <v>5548</v>
      </c>
      <c r="D1621" s="9" t="s">
        <v>5549</v>
      </c>
      <c r="E1621" s="10" t="str">
        <f>HYPERLINK("https://twitter.com/luciaherranz_/status/1069497045931708416","1069497045931708416")</f>
        <v>1069497045931708416</v>
      </c>
      <c r="F1621" s="12"/>
      <c r="G1621" s="12"/>
      <c r="H1621" s="12"/>
      <c r="I1621" s="13">
        <v>0</v>
      </c>
      <c r="J1621" s="13">
        <v>0</v>
      </c>
      <c r="K1621" s="14" t="str">
        <f t="shared" ref="K1621:K1623" si="285">HYPERLINK("http://twitter.com/download/android","Twitter for Android")</f>
        <v>Twitter for Android</v>
      </c>
      <c r="L1621" s="13">
        <v>1249</v>
      </c>
      <c r="M1621" s="13">
        <v>357</v>
      </c>
      <c r="N1621" s="13">
        <v>11</v>
      </c>
      <c r="O1621" s="15"/>
      <c r="P1621" s="6">
        <v>40429.548020833332</v>
      </c>
      <c r="Q1621" s="16" t="s">
        <v>5550</v>
      </c>
      <c r="R1621" s="17" t="s">
        <v>5551</v>
      </c>
      <c r="S1621" s="11" t="s">
        <v>5552</v>
      </c>
      <c r="T1621" s="12"/>
      <c r="U1621" s="10" t="str">
        <f>HYPERLINK("https://pbs.twimg.com/profile_images/1067848574145314816/oUT6VHDx.jpg","View")</f>
        <v>View</v>
      </c>
    </row>
    <row r="1622" spans="1:21" ht="40.799999999999997">
      <c r="A1622" s="6">
        <v>43437.359282407408</v>
      </c>
      <c r="B1622" s="7" t="str">
        <f>HYPERLINK("https://twitter.com/EmiTorMar","@EmiTorMar")</f>
        <v>@EmiTorMar</v>
      </c>
      <c r="C1622" s="8" t="s">
        <v>5553</v>
      </c>
      <c r="D1622" s="9" t="s">
        <v>5554</v>
      </c>
      <c r="E1622" s="10" t="str">
        <f>HYPERLINK("https://twitter.com/EmiTorMar/status/1069495794410143744","1069495794410143744")</f>
        <v>1069495794410143744</v>
      </c>
      <c r="F1622" s="11" t="s">
        <v>3133</v>
      </c>
      <c r="G1622" s="11" t="s">
        <v>3134</v>
      </c>
      <c r="H1622" s="12"/>
      <c r="I1622" s="13">
        <v>0</v>
      </c>
      <c r="J1622" s="13">
        <v>0</v>
      </c>
      <c r="K1622" s="14" t="str">
        <f t="shared" si="285"/>
        <v>Twitter for Android</v>
      </c>
      <c r="L1622" s="13">
        <v>156</v>
      </c>
      <c r="M1622" s="13">
        <v>371</v>
      </c>
      <c r="N1622" s="13">
        <v>2</v>
      </c>
      <c r="O1622" s="15"/>
      <c r="P1622" s="6">
        <v>40380.634618055556</v>
      </c>
      <c r="Q1622" s="16" t="s">
        <v>191</v>
      </c>
      <c r="R1622" s="17" t="s">
        <v>5555</v>
      </c>
      <c r="S1622" s="12"/>
      <c r="T1622" s="12"/>
      <c r="U1622" s="10" t="str">
        <f>HYPERLINK("https://pbs.twimg.com/profile_images/423906704732860416/tTZSrloY.jpeg","View")</f>
        <v>View</v>
      </c>
    </row>
    <row r="1623" spans="1:21" ht="20.399999999999999">
      <c r="A1623" s="6">
        <v>43437.357812499999</v>
      </c>
      <c r="B1623" s="7" t="str">
        <f>HYPERLINK("https://twitter.com/racodelaesquina","@racodelaesquina")</f>
        <v>@racodelaesquina</v>
      </c>
      <c r="C1623" s="8" t="s">
        <v>5556</v>
      </c>
      <c r="D1623" s="9" t="s">
        <v>5557</v>
      </c>
      <c r="E1623" s="10" t="str">
        <f>HYPERLINK("https://twitter.com/racodelaesquina/status/1069495262253670400","1069495262253670400")</f>
        <v>1069495262253670400</v>
      </c>
      <c r="F1623" s="12"/>
      <c r="G1623" s="11" t="s">
        <v>5558</v>
      </c>
      <c r="H1623" s="12"/>
      <c r="I1623" s="13">
        <v>1</v>
      </c>
      <c r="J1623" s="13">
        <v>4</v>
      </c>
      <c r="K1623" s="14" t="str">
        <f t="shared" si="285"/>
        <v>Twitter for Android</v>
      </c>
      <c r="L1623" s="13">
        <v>72</v>
      </c>
      <c r="M1623" s="13">
        <v>336</v>
      </c>
      <c r="N1623" s="13">
        <v>0</v>
      </c>
      <c r="O1623" s="15"/>
      <c r="P1623" s="6">
        <v>43355.032523148147</v>
      </c>
      <c r="Q1623" s="12"/>
      <c r="R1623" s="17" t="s">
        <v>5559</v>
      </c>
      <c r="S1623" s="12"/>
      <c r="T1623" s="12"/>
      <c r="U1623" s="10" t="str">
        <f>HYPERLINK("https://pbs.twimg.com/profile_images/1066332230241447936/yCkWc4m6.jpg","View")</f>
        <v>View</v>
      </c>
    </row>
    <row r="1624" spans="1:21" ht="30.6">
      <c r="A1624" s="6">
        <v>43437.350451388891</v>
      </c>
      <c r="B1624" s="7" t="str">
        <f>HYPERLINK("https://twitter.com/ABJ6691","@ABJ6691")</f>
        <v>@ABJ6691</v>
      </c>
      <c r="C1624" s="8" t="s">
        <v>4045</v>
      </c>
      <c r="D1624" s="9" t="s">
        <v>5560</v>
      </c>
      <c r="E1624" s="10" t="str">
        <f>HYPERLINK("https://twitter.com/ABJ6691/status/1069492593552236550","1069492593552236550")</f>
        <v>1069492593552236550</v>
      </c>
      <c r="F1624" s="12"/>
      <c r="G1624" s="12"/>
      <c r="H1624" s="12"/>
      <c r="I1624" s="13">
        <v>2</v>
      </c>
      <c r="J1624" s="13">
        <v>2</v>
      </c>
      <c r="K1624" s="14" t="str">
        <f>HYPERLINK("http://twitter.com","Twitter Web Client")</f>
        <v>Twitter Web Client</v>
      </c>
      <c r="L1624" s="13">
        <v>1190</v>
      </c>
      <c r="M1624" s="13">
        <v>1037</v>
      </c>
      <c r="N1624" s="13">
        <v>13</v>
      </c>
      <c r="O1624" s="15"/>
      <c r="P1624" s="6">
        <v>41788.552662037036</v>
      </c>
      <c r="Q1624" s="12"/>
      <c r="R1624" s="17" t="s">
        <v>4047</v>
      </c>
      <c r="S1624" s="12"/>
      <c r="T1624" s="12"/>
      <c r="U1624" s="10" t="str">
        <f>HYPERLINK("https://pbs.twimg.com/profile_images/998485520349970432/4qWdVkQL.jpg","View")</f>
        <v>View</v>
      </c>
    </row>
    <row r="1625" spans="1:21" ht="30.6">
      <c r="A1625" s="6">
        <v>43437.346944444449</v>
      </c>
      <c r="B1625" s="7" t="str">
        <f>HYPERLINK("https://twitter.com/pedro6lugones96","@pedro6lugones96")</f>
        <v>@pedro6lugones96</v>
      </c>
      <c r="C1625" s="8" t="s">
        <v>5561</v>
      </c>
      <c r="D1625" s="9" t="s">
        <v>5562</v>
      </c>
      <c r="E1625" s="10" t="str">
        <f>HYPERLINK("https://twitter.com/pedro6lugones96/status/1069491324565561344","1069491324565561344")</f>
        <v>1069491324565561344</v>
      </c>
      <c r="F1625" s="12"/>
      <c r="G1625" s="12"/>
      <c r="H1625" s="12"/>
      <c r="I1625" s="13">
        <v>0</v>
      </c>
      <c r="J1625" s="13">
        <v>1</v>
      </c>
      <c r="K1625" s="14" t="str">
        <f t="shared" ref="K1625:K1626" si="286">HYPERLINK("http://twitter.com/download/android","Twitter for Android")</f>
        <v>Twitter for Android</v>
      </c>
      <c r="L1625" s="13">
        <v>1282</v>
      </c>
      <c r="M1625" s="13">
        <v>1936</v>
      </c>
      <c r="N1625" s="13">
        <v>48</v>
      </c>
      <c r="O1625" s="15"/>
      <c r="P1625" s="6">
        <v>41384.641655092593</v>
      </c>
      <c r="Q1625" s="12"/>
      <c r="R1625" s="17" t="s">
        <v>5563</v>
      </c>
      <c r="S1625" s="12"/>
      <c r="T1625" s="12"/>
      <c r="U1625" s="10" t="str">
        <f>HYPERLINK("https://pbs.twimg.com/profile_images/1062760031031119872/u4ZmTZql.jpg","View")</f>
        <v>View</v>
      </c>
    </row>
    <row r="1626" spans="1:21" ht="51">
      <c r="A1626" s="6">
        <v>43437.345590277779</v>
      </c>
      <c r="B1626" s="7" t="str">
        <f>HYPERLINK("https://twitter.com/Hmetal1o","@Hmetal1o")</f>
        <v>@Hmetal1o</v>
      </c>
      <c r="C1626" s="8" t="s">
        <v>5564</v>
      </c>
      <c r="D1626" s="9" t="s">
        <v>5565</v>
      </c>
      <c r="E1626" s="10" t="str">
        <f>HYPERLINK("https://twitter.com/Hmetal1o/status/1069490834544955392","1069490834544955392")</f>
        <v>1069490834544955392</v>
      </c>
      <c r="F1626" s="12"/>
      <c r="G1626" s="11" t="s">
        <v>5566</v>
      </c>
      <c r="H1626" s="12"/>
      <c r="I1626" s="13">
        <v>1</v>
      </c>
      <c r="J1626" s="13">
        <v>1</v>
      </c>
      <c r="K1626" s="14" t="str">
        <f t="shared" si="286"/>
        <v>Twitter for Android</v>
      </c>
      <c r="L1626" s="13">
        <v>56</v>
      </c>
      <c r="M1626" s="13">
        <v>206</v>
      </c>
      <c r="N1626" s="13">
        <v>0</v>
      </c>
      <c r="O1626" s="15"/>
      <c r="P1626" s="6">
        <v>43366.007557870369</v>
      </c>
      <c r="Q1626" s="16" t="s">
        <v>5567</v>
      </c>
      <c r="R1626" s="17" t="s">
        <v>5568</v>
      </c>
      <c r="S1626" s="11" t="s">
        <v>5569</v>
      </c>
      <c r="T1626" s="12"/>
      <c r="U1626" s="10" t="str">
        <f>HYPERLINK("https://pbs.twimg.com/profile_images/1069495238115409920/_e82Frq0.jpg","View")</f>
        <v>View</v>
      </c>
    </row>
    <row r="1627" spans="1:21" ht="30.6">
      <c r="A1627" s="6">
        <v>43437.345138888893</v>
      </c>
      <c r="B1627" s="7" t="str">
        <f>HYPERLINK("https://twitter.com/TeresaGS26","@TeresaGS26")</f>
        <v>@TeresaGS26</v>
      </c>
      <c r="C1627" s="8" t="s">
        <v>1228</v>
      </c>
      <c r="D1627" s="9" t="s">
        <v>5570</v>
      </c>
      <c r="E1627" s="10" t="str">
        <f>HYPERLINK("https://twitter.com/TeresaGS26/status/1069490668328943616","1069490668328943616")</f>
        <v>1069490668328943616</v>
      </c>
      <c r="F1627" s="11" t="s">
        <v>5081</v>
      </c>
      <c r="G1627" s="12"/>
      <c r="H1627" s="12"/>
      <c r="I1627" s="13">
        <v>0</v>
      </c>
      <c r="J1627" s="13">
        <v>0</v>
      </c>
      <c r="K1627" s="14" t="str">
        <f>HYPERLINK("http://twitter.com/download/iphone","Twitter for iPhone")</f>
        <v>Twitter for iPhone</v>
      </c>
      <c r="L1627" s="13">
        <v>843</v>
      </c>
      <c r="M1627" s="13">
        <v>1019</v>
      </c>
      <c r="N1627" s="13">
        <v>18</v>
      </c>
      <c r="O1627" s="15"/>
      <c r="P1627" s="6">
        <v>42241.614548611113</v>
      </c>
      <c r="Q1627" s="12"/>
      <c r="R1627" s="17" t="s">
        <v>1230</v>
      </c>
      <c r="S1627" s="12"/>
      <c r="T1627" s="12"/>
      <c r="U1627" s="10" t="str">
        <f>HYPERLINK("https://pbs.twimg.com/profile_images/636159808249446400/2J9thX4B.jpg","View")</f>
        <v>View</v>
      </c>
    </row>
    <row r="1628" spans="1:21" ht="40.799999999999997">
      <c r="A1628" s="6">
        <v>43437.34311342593</v>
      </c>
      <c r="B1628" s="7" t="str">
        <f>HYPERLINK("https://twitter.com/Mariablanco_","@Mariablanco_")</f>
        <v>@Mariablanco_</v>
      </c>
      <c r="C1628" s="8" t="s">
        <v>5571</v>
      </c>
      <c r="D1628" s="9" t="s">
        <v>5572</v>
      </c>
      <c r="E1628" s="10" t="str">
        <f>HYPERLINK("https://twitter.com/Mariablanco_/status/1069489934665433089","1069489934665433089")</f>
        <v>1069489934665433089</v>
      </c>
      <c r="F1628" s="12"/>
      <c r="G1628" s="11" t="s">
        <v>5573</v>
      </c>
      <c r="H1628" s="12"/>
      <c r="I1628" s="13">
        <v>1</v>
      </c>
      <c r="J1628" s="13">
        <v>0</v>
      </c>
      <c r="K1628" s="14" t="str">
        <f>HYPERLINK("http://twitter.com/#!/download/ipad","Twitter for iPad")</f>
        <v>Twitter for iPad</v>
      </c>
      <c r="L1628" s="13">
        <v>1126</v>
      </c>
      <c r="M1628" s="13">
        <v>210</v>
      </c>
      <c r="N1628" s="13">
        <v>30</v>
      </c>
      <c r="O1628" s="15"/>
      <c r="P1628" s="6">
        <v>40647.911261574074</v>
      </c>
      <c r="Q1628" s="12"/>
      <c r="R1628" s="17" t="s">
        <v>5574</v>
      </c>
      <c r="S1628" s="12"/>
      <c r="T1628" s="12"/>
      <c r="U1628" s="10" t="str">
        <f>HYPERLINK("https://pbs.twimg.com/profile_images/967527831747158018/OWDLDoiB.jpg","View")</f>
        <v>View</v>
      </c>
    </row>
    <row r="1629" spans="1:21" ht="20.399999999999999">
      <c r="A1629" s="6">
        <v>43437.340254629627</v>
      </c>
      <c r="B1629" s="7" t="str">
        <f>HYPERLINK("https://twitter.com/lolapastur","@lolapastur")</f>
        <v>@lolapastur</v>
      </c>
      <c r="C1629" s="8" t="s">
        <v>1213</v>
      </c>
      <c r="D1629" s="9" t="s">
        <v>5321</v>
      </c>
      <c r="E1629" s="10" t="str">
        <f>HYPERLINK("https://twitter.com/lolapastur/status/1069488899821588480","1069488899821588480")</f>
        <v>1069488899821588480</v>
      </c>
      <c r="F1629" s="11" t="s">
        <v>5081</v>
      </c>
      <c r="G1629" s="12"/>
      <c r="H1629" s="12"/>
      <c r="I1629" s="13">
        <v>0</v>
      </c>
      <c r="J1629" s="13">
        <v>0</v>
      </c>
      <c r="K1629" s="14" t="str">
        <f>HYPERLINK("http://twitter.com/download/iphone","Twitter for iPhone")</f>
        <v>Twitter for iPhone</v>
      </c>
      <c r="L1629" s="13">
        <v>3784</v>
      </c>
      <c r="M1629" s="13">
        <v>2833</v>
      </c>
      <c r="N1629" s="13">
        <v>33</v>
      </c>
      <c r="O1629" s="15"/>
      <c r="P1629" s="6">
        <v>40913.599293981482</v>
      </c>
      <c r="Q1629" s="12"/>
      <c r="R1629" s="17" t="s">
        <v>1216</v>
      </c>
      <c r="S1629" s="12"/>
      <c r="T1629" s="12"/>
      <c r="U1629" s="10" t="str">
        <f>HYPERLINK("https://pbs.twimg.com/profile_images/934821295736451073/tnymHvNj.jpg","View")</f>
        <v>View</v>
      </c>
    </row>
    <row r="1630" spans="1:21" ht="40.799999999999997">
      <c r="A1630" s="6">
        <v>43437.320787037039</v>
      </c>
      <c r="B1630" s="7" t="str">
        <f>HYPERLINK("https://twitter.com/ZASC4","@ZASC4")</f>
        <v>@ZASC4</v>
      </c>
      <c r="C1630" s="8" t="s">
        <v>5575</v>
      </c>
      <c r="D1630" s="9" t="s">
        <v>5576</v>
      </c>
      <c r="E1630" s="10" t="str">
        <f>HYPERLINK("https://twitter.com/ZASC4/status/1069481843706261505","1069481843706261505")</f>
        <v>1069481843706261505</v>
      </c>
      <c r="F1630" s="12"/>
      <c r="G1630" s="12"/>
      <c r="H1630" s="12"/>
      <c r="I1630" s="13">
        <v>2</v>
      </c>
      <c r="J1630" s="13">
        <v>14</v>
      </c>
      <c r="K1630" s="14" t="str">
        <f>HYPERLINK("http://twitter.com/#!/download/ipad","Twitter for iPad")</f>
        <v>Twitter for iPad</v>
      </c>
      <c r="L1630" s="13">
        <v>7930</v>
      </c>
      <c r="M1630" s="13">
        <v>199</v>
      </c>
      <c r="N1630" s="13">
        <v>78</v>
      </c>
      <c r="O1630" s="15"/>
      <c r="P1630" s="6">
        <v>41899.583564814813</v>
      </c>
      <c r="Q1630" s="16" t="s">
        <v>5577</v>
      </c>
      <c r="R1630" s="17" t="s">
        <v>5578</v>
      </c>
      <c r="S1630" s="12"/>
      <c r="T1630" s="12"/>
      <c r="U1630" s="10" t="str">
        <f>HYPERLINK("https://pbs.twimg.com/profile_images/1066287404791808007/-wUddrBa.jpg","View")</f>
        <v>View</v>
      </c>
    </row>
    <row r="1631" spans="1:21" ht="40.799999999999997">
      <c r="A1631" s="6">
        <v>43437.32032407407</v>
      </c>
      <c r="B1631" s="7" t="str">
        <f>HYPERLINK("https://twitter.com/maxalvareztever","@maxalvareztever")</f>
        <v>@maxalvareztever</v>
      </c>
      <c r="C1631" s="8" t="s">
        <v>4438</v>
      </c>
      <c r="D1631" s="9" t="s">
        <v>5428</v>
      </c>
      <c r="E1631" s="10" t="str">
        <f>HYPERLINK("https://twitter.com/maxalvareztever/status/1069481676991094784","1069481676991094784")</f>
        <v>1069481676991094784</v>
      </c>
      <c r="F1631" s="11" t="s">
        <v>4440</v>
      </c>
      <c r="G1631" s="12"/>
      <c r="H1631" s="12"/>
      <c r="I1631" s="13">
        <v>0</v>
      </c>
      <c r="J1631" s="13">
        <v>0</v>
      </c>
      <c r="K1631" s="14" t="str">
        <f>HYPERLINK("http://www.facebook.com/twitter","Facebook")</f>
        <v>Facebook</v>
      </c>
      <c r="L1631" s="13">
        <v>947</v>
      </c>
      <c r="M1631" s="13">
        <v>1953</v>
      </c>
      <c r="N1631" s="13">
        <v>15</v>
      </c>
      <c r="O1631" s="15"/>
      <c r="P1631" s="6">
        <v>40562.875914351855</v>
      </c>
      <c r="Q1631" s="16" t="s">
        <v>4441</v>
      </c>
      <c r="R1631" s="17" t="s">
        <v>4442</v>
      </c>
      <c r="S1631" s="12"/>
      <c r="T1631" s="12"/>
      <c r="U1631" s="10" t="str">
        <f>HYPERLINK("https://pbs.twimg.com/profile_images/1713837472/DSC_0178-2.jpg","View")</f>
        <v>View</v>
      </c>
    </row>
    <row r="1632" spans="1:21" ht="51">
      <c r="A1632" s="6">
        <v>43437.314120370371</v>
      </c>
      <c r="B1632" s="7" t="str">
        <f>HYPERLINK("https://twitter.com/CervantesFAQs","@CervantesFAQs")</f>
        <v>@CervantesFAQs</v>
      </c>
      <c r="C1632" s="8" t="s">
        <v>5580</v>
      </c>
      <c r="D1632" s="9" t="s">
        <v>5581</v>
      </c>
      <c r="E1632" s="10" t="str">
        <f>HYPERLINK("https://twitter.com/CervantesFAQs/status/1069479429062213632","1069479429062213632")</f>
        <v>1069479429062213632</v>
      </c>
      <c r="F1632" s="12"/>
      <c r="G1632" s="12"/>
      <c r="H1632" s="12"/>
      <c r="I1632" s="13">
        <v>17</v>
      </c>
      <c r="J1632" s="13">
        <v>37</v>
      </c>
      <c r="K1632" s="14" t="str">
        <f>HYPERLINK("https://mobile.twitter.com","Twitter Lite")</f>
        <v>Twitter Lite</v>
      </c>
      <c r="L1632" s="13">
        <v>41920</v>
      </c>
      <c r="M1632" s="13">
        <v>999</v>
      </c>
      <c r="N1632" s="13">
        <v>345</v>
      </c>
      <c r="O1632" s="15"/>
      <c r="P1632" s="6">
        <v>40904.665162037039</v>
      </c>
      <c r="Q1632" s="12"/>
      <c r="R1632" s="17" t="s">
        <v>5582</v>
      </c>
      <c r="S1632" s="11" t="s">
        <v>5583</v>
      </c>
      <c r="T1632" s="12"/>
      <c r="U1632" s="10" t="str">
        <f>HYPERLINK("https://pbs.twimg.com/profile_images/1040899168477372417/HKN0kl5-.jpg","View")</f>
        <v>View</v>
      </c>
    </row>
    <row r="1633" spans="1:21" ht="20.399999999999999">
      <c r="A1633" s="6">
        <v>43437.309548611112</v>
      </c>
      <c r="B1633" s="7" t="str">
        <f>HYPERLINK("https://twitter.com/JordiPedragosa","@JordiPedragosa")</f>
        <v>@JordiPedragosa</v>
      </c>
      <c r="C1633" s="8" t="s">
        <v>5584</v>
      </c>
      <c r="D1633" s="9" t="s">
        <v>5585</v>
      </c>
      <c r="E1633" s="10" t="str">
        <f>HYPERLINK("https://twitter.com/JordiPedragosa/status/1069477771703975936","1069477771703975936")</f>
        <v>1069477771703975936</v>
      </c>
      <c r="F1633" s="11" t="s">
        <v>5586</v>
      </c>
      <c r="G1633" s="12"/>
      <c r="H1633" s="12"/>
      <c r="I1633" s="13">
        <v>0</v>
      </c>
      <c r="J1633" s="13">
        <v>0</v>
      </c>
      <c r="K1633" s="14" t="str">
        <f>HYPERLINK("http://www.facebook.com/twitter","Facebook")</f>
        <v>Facebook</v>
      </c>
      <c r="L1633" s="13">
        <v>364</v>
      </c>
      <c r="M1633" s="13">
        <v>334</v>
      </c>
      <c r="N1633" s="13">
        <v>25</v>
      </c>
      <c r="O1633" s="15"/>
      <c r="P1633" s="6">
        <v>40051.585787037038</v>
      </c>
      <c r="Q1633" s="16" t="s">
        <v>5587</v>
      </c>
      <c r="R1633" s="17" t="s">
        <v>5588</v>
      </c>
      <c r="S1633" s="12"/>
      <c r="T1633" s="12"/>
      <c r="U1633" s="10" t="str">
        <f>HYPERLINK("https://pbs.twimg.com/profile_images/994920393147408387/XCRTUlye.jpg","View")</f>
        <v>View</v>
      </c>
    </row>
    <row r="1634" spans="1:21" ht="30.6">
      <c r="A1634" s="6">
        <v>43437.306030092594</v>
      </c>
      <c r="B1634" s="7" t="str">
        <f>HYPERLINK("https://twitter.com/johanvanveen","@johanvanveen")</f>
        <v>@johanvanveen</v>
      </c>
      <c r="C1634" s="8" t="s">
        <v>5589</v>
      </c>
      <c r="D1634" s="9" t="s">
        <v>5590</v>
      </c>
      <c r="E1634" s="10" t="str">
        <f>HYPERLINK("https://twitter.com/johanvanveen/status/1069476498762055680","1069476498762055680")</f>
        <v>1069476498762055680</v>
      </c>
      <c r="F1634" s="11" t="s">
        <v>5591</v>
      </c>
      <c r="G1634" s="11" t="s">
        <v>5592</v>
      </c>
      <c r="H1634" s="12"/>
      <c r="I1634" s="13">
        <v>0</v>
      </c>
      <c r="J1634" s="13">
        <v>1</v>
      </c>
      <c r="K1634" s="14" t="str">
        <f>HYPERLINK("http://twitter.com","Twitter Web Client")</f>
        <v>Twitter Web Client</v>
      </c>
      <c r="L1634" s="13">
        <v>302</v>
      </c>
      <c r="M1634" s="13">
        <v>120</v>
      </c>
      <c r="N1634" s="13">
        <v>2</v>
      </c>
      <c r="O1634" s="15"/>
      <c r="P1634" s="6">
        <v>40242.462048611109</v>
      </c>
      <c r="Q1634" s="16" t="s">
        <v>5593</v>
      </c>
      <c r="R1634" s="20"/>
      <c r="S1634" s="11" t="s">
        <v>5591</v>
      </c>
      <c r="T1634" s="12"/>
      <c r="U1634" s="10" t="str">
        <f>HYPERLINK("https://pbs.twimg.com/profile_images/1626894124/402px-Schutz.jpg","View")</f>
        <v>View</v>
      </c>
    </row>
    <row r="1635" spans="1:21" ht="30.6">
      <c r="A1635" s="6">
        <v>43437.265405092592</v>
      </c>
      <c r="B1635" s="7" t="str">
        <f>HYPERLINK("https://twitter.com/javifergavilan","@javifergavilan")</f>
        <v>@javifergavilan</v>
      </c>
      <c r="C1635" s="8" t="s">
        <v>5594</v>
      </c>
      <c r="D1635" s="9" t="s">
        <v>5595</v>
      </c>
      <c r="E1635" s="10" t="str">
        <f>HYPERLINK("https://twitter.com/javifergavilan/status/1069461773345062913","1069461773345062913")</f>
        <v>1069461773345062913</v>
      </c>
      <c r="F1635" s="11" t="s">
        <v>5596</v>
      </c>
      <c r="G1635" s="12"/>
      <c r="H1635" s="12"/>
      <c r="I1635" s="13">
        <v>0</v>
      </c>
      <c r="J1635" s="13">
        <v>0</v>
      </c>
      <c r="K1635" s="14" t="str">
        <f>HYPERLINK("http://twitter.com/download/iphone","Twitter for iPhone")</f>
        <v>Twitter for iPhone</v>
      </c>
      <c r="L1635" s="13">
        <v>433</v>
      </c>
      <c r="M1635" s="13">
        <v>991</v>
      </c>
      <c r="N1635" s="13">
        <v>21</v>
      </c>
      <c r="O1635" s="15"/>
      <c r="P1635" s="6">
        <v>41305.906365740739</v>
      </c>
      <c r="Q1635" s="12"/>
      <c r="R1635" s="17" t="s">
        <v>5597</v>
      </c>
      <c r="S1635" s="12"/>
      <c r="T1635" s="12"/>
      <c r="U1635" s="10" t="str">
        <f>HYPERLINK("https://pbs.twimg.com/profile_images/580796238519541760/Xkwo7G4h.jpg","View")</f>
        <v>View</v>
      </c>
    </row>
    <row r="1636" spans="1:21" ht="40.799999999999997">
      <c r="A1636" s="6">
        <v>43437.208333333328</v>
      </c>
      <c r="B1636" s="7" t="str">
        <f>HYPERLINK("https://twitter.com/20m","@20m")</f>
        <v>@20m</v>
      </c>
      <c r="C1636" s="21" t="s">
        <v>158</v>
      </c>
      <c r="D1636" s="9" t="s">
        <v>5598</v>
      </c>
      <c r="E1636" s="10" t="str">
        <f>HYPERLINK("https://twitter.com/20m/status/1069441093555621891","1069441093555621891")</f>
        <v>1069441093555621891</v>
      </c>
      <c r="F1636" s="11" t="s">
        <v>5599</v>
      </c>
      <c r="G1636" s="12"/>
      <c r="H1636" s="12"/>
      <c r="I1636" s="13">
        <v>0</v>
      </c>
      <c r="J1636" s="13">
        <v>3</v>
      </c>
      <c r="K1636" s="14" t="str">
        <f>HYPERLINK("http://dogtrack.es","DogTrack_Oficial")</f>
        <v>DogTrack_Oficial</v>
      </c>
      <c r="L1636" s="13">
        <v>1353522</v>
      </c>
      <c r="M1636" s="13">
        <v>51093</v>
      </c>
      <c r="N1636" s="13">
        <v>14084</v>
      </c>
      <c r="O1636" s="19" t="s">
        <v>44</v>
      </c>
      <c r="P1636" s="6">
        <v>39917.485891203702</v>
      </c>
      <c r="Q1636" s="16" t="s">
        <v>86</v>
      </c>
      <c r="R1636" s="17" t="s">
        <v>164</v>
      </c>
      <c r="S1636" s="11" t="s">
        <v>165</v>
      </c>
      <c r="T1636" s="12"/>
      <c r="U1636" s="10" t="str">
        <f>HYPERLINK("https://pbs.twimg.com/profile_images/1013670314285420544/gwCE6EJr.jpg","View")</f>
        <v>View</v>
      </c>
    </row>
    <row r="1637" spans="1:21" ht="30.6">
      <c r="A1637" s="6">
        <v>43437.193206018521</v>
      </c>
      <c r="B1637" s="7" t="str">
        <f>HYPERLINK("https://twitter.com/TheCormental","@TheCormental")</f>
        <v>@TheCormental</v>
      </c>
      <c r="C1637" s="8" t="s">
        <v>5600</v>
      </c>
      <c r="D1637" s="9" t="s">
        <v>5601</v>
      </c>
      <c r="E1637" s="10" t="str">
        <f>HYPERLINK("https://twitter.com/TheCormental/status/1069435611952627712","1069435611952627712")</f>
        <v>1069435611952627712</v>
      </c>
      <c r="F1637" s="11" t="s">
        <v>5602</v>
      </c>
      <c r="G1637" s="12"/>
      <c r="H1637" s="12"/>
      <c r="I1637" s="13">
        <v>0</v>
      </c>
      <c r="J1637" s="13">
        <v>0</v>
      </c>
      <c r="K1637" s="14" t="str">
        <f>HYPERLINK("https://www.google.com/","Google")</f>
        <v>Google</v>
      </c>
      <c r="L1637" s="13">
        <v>646</v>
      </c>
      <c r="M1637" s="13">
        <v>1214</v>
      </c>
      <c r="N1637" s="13">
        <v>69</v>
      </c>
      <c r="O1637" s="15"/>
      <c r="P1637" s="6">
        <v>41385.54146990741</v>
      </c>
      <c r="Q1637" s="16" t="s">
        <v>625</v>
      </c>
      <c r="R1637" s="17" t="s">
        <v>5603</v>
      </c>
      <c r="S1637" s="11" t="s">
        <v>5604</v>
      </c>
      <c r="T1637" s="12"/>
      <c r="U1637" s="10" t="str">
        <f>HYPERLINK("https://pbs.twimg.com/profile_images/960971237940965376/j3ZMhhtA.jpg","View")</f>
        <v>View</v>
      </c>
    </row>
    <row r="1638" spans="1:21" ht="40.799999999999997">
      <c r="A1638" s="6">
        <v>43437.17969907407</v>
      </c>
      <c r="B1638" s="7" t="str">
        <f>HYPERLINK("https://twitter.com/ArdidDeLaRazon","@ArdidDeLaRazon")</f>
        <v>@ArdidDeLaRazon</v>
      </c>
      <c r="C1638" s="8" t="s">
        <v>5605</v>
      </c>
      <c r="D1638" s="9" t="s">
        <v>5606</v>
      </c>
      <c r="E1638" s="10" t="str">
        <f>HYPERLINK("https://twitter.com/ArdidDeLaRazon/status/1069430715941564417","1069430715941564417")</f>
        <v>1069430715941564417</v>
      </c>
      <c r="F1638" s="16" t="s">
        <v>5607</v>
      </c>
      <c r="G1638" s="12"/>
      <c r="H1638" s="12"/>
      <c r="I1638" s="13">
        <v>0</v>
      </c>
      <c r="J1638" s="13">
        <v>0</v>
      </c>
      <c r="K1638" s="14" t="str">
        <f>HYPERLINK("http://www.facebook.com/twitter","Facebook")</f>
        <v>Facebook</v>
      </c>
      <c r="L1638" s="13">
        <v>380</v>
      </c>
      <c r="M1638" s="13">
        <v>986</v>
      </c>
      <c r="N1638" s="13">
        <v>109</v>
      </c>
      <c r="O1638" s="15"/>
      <c r="P1638" s="6">
        <v>42527.798472222217</v>
      </c>
      <c r="Q1638" s="16" t="s">
        <v>5608</v>
      </c>
      <c r="R1638" s="17" t="s">
        <v>5609</v>
      </c>
      <c r="S1638" s="11" t="s">
        <v>5610</v>
      </c>
      <c r="T1638" s="12"/>
      <c r="U1638" s="10" t="str">
        <f>HYPERLINK("https://pbs.twimg.com/profile_images/1062743497789399040/hYl-0CA5.jpg","View")</f>
        <v>View</v>
      </c>
    </row>
    <row r="1639" spans="1:21" ht="61.2">
      <c r="A1639" s="6">
        <v>43437.145451388889</v>
      </c>
      <c r="B1639" s="7" t="str">
        <f>HYPERLINK("https://twitter.com/CarloyalM","@CarloyalM")</f>
        <v>@CarloyalM</v>
      </c>
      <c r="C1639" s="8" t="s">
        <v>5611</v>
      </c>
      <c r="D1639" s="9" t="s">
        <v>5612</v>
      </c>
      <c r="E1639" s="10" t="str">
        <f>HYPERLINK("https://twitter.com/CarloyalM/status/1069418306753478656","1069418306753478656")</f>
        <v>1069418306753478656</v>
      </c>
      <c r="F1639" s="12"/>
      <c r="G1639" s="12"/>
      <c r="H1639" s="12"/>
      <c r="I1639" s="13">
        <v>0</v>
      </c>
      <c r="J1639" s="13">
        <v>0</v>
      </c>
      <c r="K1639" s="14" t="str">
        <f t="shared" ref="K1639:K1641" si="287">HYPERLINK("http://twitter.com","Twitter Web Client")</f>
        <v>Twitter Web Client</v>
      </c>
      <c r="L1639" s="13">
        <v>387</v>
      </c>
      <c r="M1639" s="13">
        <v>98</v>
      </c>
      <c r="N1639" s="13">
        <v>12</v>
      </c>
      <c r="O1639" s="15"/>
      <c r="P1639" s="6">
        <v>40614.812384259261</v>
      </c>
      <c r="Q1639" s="12"/>
      <c r="R1639" s="17" t="s">
        <v>5613</v>
      </c>
      <c r="S1639" s="12"/>
      <c r="T1639" s="12"/>
      <c r="U1639" s="10" t="str">
        <f>HYPERLINK("https://pbs.twimg.com/profile_images/1066852368644476929/c_t2yiw4.jpg","View")</f>
        <v>View</v>
      </c>
    </row>
    <row r="1640" spans="1:21" ht="40.799999999999997">
      <c r="A1640" s="6">
        <v>43437.145289351851</v>
      </c>
      <c r="B1640" s="7" t="str">
        <f>HYPERLINK("https://twitter.com/toninote","@toninote")</f>
        <v>@toninote</v>
      </c>
      <c r="C1640" s="8" t="s">
        <v>5614</v>
      </c>
      <c r="D1640" s="9" t="s">
        <v>5615</v>
      </c>
      <c r="E1640" s="10" t="str">
        <f>HYPERLINK("https://twitter.com/toninote/status/1069418247529865217","1069418247529865217")</f>
        <v>1069418247529865217</v>
      </c>
      <c r="F1640" s="12"/>
      <c r="G1640" s="12"/>
      <c r="H1640" s="12"/>
      <c r="I1640" s="13">
        <v>0</v>
      </c>
      <c r="J1640" s="13">
        <v>0</v>
      </c>
      <c r="K1640" s="14" t="str">
        <f t="shared" si="287"/>
        <v>Twitter Web Client</v>
      </c>
      <c r="L1640" s="13">
        <v>4246</v>
      </c>
      <c r="M1640" s="13">
        <v>2809</v>
      </c>
      <c r="N1640" s="13">
        <v>49</v>
      </c>
      <c r="O1640" s="15"/>
      <c r="P1640" s="6">
        <v>40275.243263888886</v>
      </c>
      <c r="Q1640" s="16" t="s">
        <v>5616</v>
      </c>
      <c r="R1640" s="17" t="s">
        <v>5617</v>
      </c>
      <c r="S1640" s="11" t="s">
        <v>5618</v>
      </c>
      <c r="T1640" s="12"/>
      <c r="U1640" s="10" t="str">
        <f>HYPERLINK("https://pbs.twimg.com/profile_images/1069477907746234368/CUvcd_FK.jpg","View")</f>
        <v>View</v>
      </c>
    </row>
    <row r="1641" spans="1:21" ht="20.399999999999999">
      <c r="A1641" s="6">
        <v>43437.143819444449</v>
      </c>
      <c r="B1641" s="7" t="str">
        <f>HYPERLINK("https://twitter.com/SpazianiG","@SpazianiG")</f>
        <v>@SpazianiG</v>
      </c>
      <c r="C1641" s="8" t="s">
        <v>5619</v>
      </c>
      <c r="D1641" s="9" t="s">
        <v>602</v>
      </c>
      <c r="E1641" s="10" t="str">
        <f>HYPERLINK("https://twitter.com/SpazianiG/status/1069417712999440384","1069417712999440384")</f>
        <v>1069417712999440384</v>
      </c>
      <c r="F1641" s="11" t="s">
        <v>603</v>
      </c>
      <c r="G1641" s="12"/>
      <c r="H1641" s="12"/>
      <c r="I1641" s="13">
        <v>0</v>
      </c>
      <c r="J1641" s="13">
        <v>0</v>
      </c>
      <c r="K1641" s="14" t="str">
        <f t="shared" si="287"/>
        <v>Twitter Web Client</v>
      </c>
      <c r="L1641" s="13">
        <v>2703</v>
      </c>
      <c r="M1641" s="13">
        <v>2461</v>
      </c>
      <c r="N1641" s="13">
        <v>71</v>
      </c>
      <c r="O1641" s="15"/>
      <c r="P1641" s="6">
        <v>40869.871562500004</v>
      </c>
      <c r="Q1641" s="16" t="s">
        <v>861</v>
      </c>
      <c r="R1641" s="17" t="s">
        <v>5620</v>
      </c>
      <c r="S1641" s="12"/>
      <c r="T1641" s="12"/>
      <c r="U1641" s="10" t="str">
        <f>HYPERLINK("https://pbs.twimg.com/profile_images/2397944309/qs6m1fbws67nyskcpe1v.jpeg","View")</f>
        <v>View</v>
      </c>
    </row>
    <row r="1642" spans="1:21" ht="30.6">
      <c r="A1642" s="6">
        <v>43437.142500000002</v>
      </c>
      <c r="B1642" s="7" t="str">
        <f>HYPERLINK("https://twitter.com/NoticiarioES","@NoticiarioES")</f>
        <v>@NoticiarioES</v>
      </c>
      <c r="C1642" s="8" t="s">
        <v>1693</v>
      </c>
      <c r="D1642" s="9" t="s">
        <v>5621</v>
      </c>
      <c r="E1642" s="10" t="str">
        <f>HYPERLINK("https://twitter.com/NoticiarioES/status/1069417237042393088","1069417237042393088")</f>
        <v>1069417237042393088</v>
      </c>
      <c r="F1642" s="16" t="s">
        <v>5622</v>
      </c>
      <c r="G1642" s="11" t="s">
        <v>5623</v>
      </c>
      <c r="H1642" s="12"/>
      <c r="I1642" s="13">
        <v>0</v>
      </c>
      <c r="J1642" s="13">
        <v>0</v>
      </c>
      <c r="K1642" s="14" t="str">
        <f>HYPERLINK("https://buffer.com","Buffer")</f>
        <v>Buffer</v>
      </c>
      <c r="L1642" s="13">
        <v>203</v>
      </c>
      <c r="M1642" s="13">
        <v>6</v>
      </c>
      <c r="N1642" s="13">
        <v>7</v>
      </c>
      <c r="O1642" s="15"/>
      <c r="P1642" s="6">
        <v>39678.946342592593</v>
      </c>
      <c r="Q1642" s="16" t="s">
        <v>1697</v>
      </c>
      <c r="R1642" s="17" t="s">
        <v>1698</v>
      </c>
      <c r="S1642" s="11" t="s">
        <v>1699</v>
      </c>
      <c r="T1642" s="12"/>
      <c r="U1642" s="10" t="str">
        <f>HYPERLINK("https://pbs.twimg.com/profile_images/994642847935664130/qdn8TSqA.jpg","View")</f>
        <v>View</v>
      </c>
    </row>
    <row r="1643" spans="1:21" ht="51">
      <c r="A1643" s="6">
        <v>43437.138009259259</v>
      </c>
      <c r="B1643" s="7" t="str">
        <f>HYPERLINK("https://twitter.com/marimardona","@marimardona")</f>
        <v>@marimardona</v>
      </c>
      <c r="C1643" s="8" t="s">
        <v>5624</v>
      </c>
      <c r="D1643" s="9" t="s">
        <v>5625</v>
      </c>
      <c r="E1643" s="10" t="str">
        <f>HYPERLINK("https://twitter.com/marimardona/status/1069415607853027329","1069415607853027329")</f>
        <v>1069415607853027329</v>
      </c>
      <c r="F1643" s="11" t="s">
        <v>5626</v>
      </c>
      <c r="G1643" s="12"/>
      <c r="H1643" s="12"/>
      <c r="I1643" s="13">
        <v>1</v>
      </c>
      <c r="J1643" s="13">
        <v>1</v>
      </c>
      <c r="K1643" s="14" t="str">
        <f>HYPERLINK("http://twitter.com/download/android","Twitter for Android")</f>
        <v>Twitter for Android</v>
      </c>
      <c r="L1643" s="13">
        <v>5486</v>
      </c>
      <c r="M1643" s="13">
        <v>5467</v>
      </c>
      <c r="N1643" s="13">
        <v>82</v>
      </c>
      <c r="O1643" s="15"/>
      <c r="P1643" s="6">
        <v>40640.747418981482</v>
      </c>
      <c r="Q1643" s="16" t="s">
        <v>874</v>
      </c>
      <c r="R1643" s="17" t="s">
        <v>5627</v>
      </c>
      <c r="S1643" s="12"/>
      <c r="T1643" s="12"/>
      <c r="U1643" s="10" t="str">
        <f>HYPERLINK("https://pbs.twimg.com/profile_images/1067153789701054464/TOVW5ynp.jpg","View")</f>
        <v>View</v>
      </c>
    </row>
    <row r="1644" spans="1:21" ht="40.799999999999997">
      <c r="A1644" s="6">
        <v>43437.136504629627</v>
      </c>
      <c r="B1644" s="7" t="str">
        <f>HYPERLINK("https://twitter.com/GranCanariaTv","@GranCanariaTv")</f>
        <v>@GranCanariaTv</v>
      </c>
      <c r="C1644" s="8" t="s">
        <v>5628</v>
      </c>
      <c r="D1644" s="9" t="s">
        <v>5629</v>
      </c>
      <c r="E1644" s="10" t="str">
        <f>HYPERLINK("https://twitter.com/GranCanariaTv/status/1069415064166416385","1069415064166416385")</f>
        <v>1069415064166416385</v>
      </c>
      <c r="F1644" s="11" t="s">
        <v>603</v>
      </c>
      <c r="G1644" s="12"/>
      <c r="H1644" s="12"/>
      <c r="I1644" s="13">
        <v>0</v>
      </c>
      <c r="J1644" s="13">
        <v>0</v>
      </c>
      <c r="K1644" s="14" t="str">
        <f>HYPERLINK("http://twitter.com","Twitter Web Client")</f>
        <v>Twitter Web Client</v>
      </c>
      <c r="L1644" s="13">
        <v>5011</v>
      </c>
      <c r="M1644" s="13">
        <v>3353</v>
      </c>
      <c r="N1644" s="13">
        <v>99</v>
      </c>
      <c r="O1644" s="15"/>
      <c r="P1644" s="6">
        <v>40504.989155092597</v>
      </c>
      <c r="Q1644" s="16" t="s">
        <v>325</v>
      </c>
      <c r="R1644" s="17" t="s">
        <v>5630</v>
      </c>
      <c r="S1644" s="11" t="s">
        <v>5631</v>
      </c>
      <c r="T1644" s="12"/>
      <c r="U1644" s="10" t="str">
        <f>HYPERLINK("https://pbs.twimg.com/profile_images/728335785527758848/RP6AGTBc.jpg","View")</f>
        <v>View</v>
      </c>
    </row>
    <row r="1645" spans="1:21" ht="40.799999999999997">
      <c r="A1645" s="6">
        <v>43437.116724537038</v>
      </c>
      <c r="B1645" s="7" t="str">
        <f>HYPERLINK("https://twitter.com/paucazorla","@paucazorla")</f>
        <v>@paucazorla</v>
      </c>
      <c r="C1645" s="8" t="s">
        <v>5632</v>
      </c>
      <c r="D1645" s="9" t="s">
        <v>5633</v>
      </c>
      <c r="E1645" s="10" t="str">
        <f>HYPERLINK("https://twitter.com/paucazorla/status/1069407896323149824","1069407896323149824")</f>
        <v>1069407896323149824</v>
      </c>
      <c r="F1645" s="16" t="s">
        <v>5634</v>
      </c>
      <c r="G1645" s="12"/>
      <c r="H1645" s="12"/>
      <c r="I1645" s="13">
        <v>0</v>
      </c>
      <c r="J1645" s="13">
        <v>0</v>
      </c>
      <c r="K1645" s="14" t="str">
        <f>HYPERLINK("http://twitter.com/download/android","Twitter for Android")</f>
        <v>Twitter for Android</v>
      </c>
      <c r="L1645" s="13">
        <v>11887</v>
      </c>
      <c r="M1645" s="13">
        <v>493</v>
      </c>
      <c r="N1645" s="13">
        <v>267</v>
      </c>
      <c r="O1645" s="15"/>
      <c r="P1645" s="6">
        <v>40127.840960648144</v>
      </c>
      <c r="Q1645" s="12"/>
      <c r="R1645" s="17" t="s">
        <v>5635</v>
      </c>
      <c r="S1645" s="11" t="s">
        <v>5636</v>
      </c>
      <c r="T1645" s="12"/>
      <c r="U1645" s="10" t="str">
        <f>HYPERLINK("https://pbs.twimg.com/profile_images/989678490575409152/ukYUdSB-.jpg","View")</f>
        <v>View</v>
      </c>
    </row>
    <row r="1646" spans="1:21" ht="51">
      <c r="A1646" s="6">
        <v>43437.114050925928</v>
      </c>
      <c r="B1646" s="7" t="str">
        <f>HYPERLINK("https://twitter.com/PBMarbeMalaga","@PBMarbeMalaga")</f>
        <v>@PBMarbeMalaga</v>
      </c>
      <c r="C1646" s="8" t="s">
        <v>5637</v>
      </c>
      <c r="D1646" s="9" t="s">
        <v>5638</v>
      </c>
      <c r="E1646" s="10" t="str">
        <f>HYPERLINK("https://twitter.com/PBMarbeMalaga/status/1069406926784684035","1069406926784684035")</f>
        <v>1069406926784684035</v>
      </c>
      <c r="F1646" s="12"/>
      <c r="G1646" s="12"/>
      <c r="H1646" s="12"/>
      <c r="I1646" s="13">
        <v>0</v>
      </c>
      <c r="J1646" s="13">
        <v>0</v>
      </c>
      <c r="K1646" s="14" t="str">
        <f>HYPERLINK("https://javitang.ddns.net","PBMarbeMalaga")</f>
        <v>PBMarbeMalaga</v>
      </c>
      <c r="L1646" s="13">
        <v>1316</v>
      </c>
      <c r="M1646" s="13">
        <v>1358</v>
      </c>
      <c r="N1646" s="13">
        <v>2</v>
      </c>
      <c r="O1646" s="15"/>
      <c r="P1646" s="6">
        <v>43149.814074074078</v>
      </c>
      <c r="Q1646" s="16" t="s">
        <v>604</v>
      </c>
      <c r="R1646" s="17" t="s">
        <v>5639</v>
      </c>
      <c r="S1646" s="12"/>
      <c r="T1646" s="12"/>
      <c r="U1646" s="10" t="str">
        <f>HYPERLINK("https://pbs.twimg.com/profile_images/965296691145531392/sAFnfUu2.jpg","View")</f>
        <v>View</v>
      </c>
    </row>
    <row r="1647" spans="1:21" ht="30.6">
      <c r="A1647" s="6">
        <v>43437.108715277776</v>
      </c>
      <c r="B1647" s="7" t="str">
        <f>HYPERLINK("https://twitter.com/vanesa77dc","@vanesa77dc")</f>
        <v>@vanesa77dc</v>
      </c>
      <c r="C1647" s="8" t="s">
        <v>5640</v>
      </c>
      <c r="D1647" s="9" t="s">
        <v>5641</v>
      </c>
      <c r="E1647" s="10" t="str">
        <f>HYPERLINK("https://twitter.com/vanesa77dc/status/1069404990735822853","1069404990735822853")</f>
        <v>1069404990735822853</v>
      </c>
      <c r="F1647" s="12"/>
      <c r="G1647" s="11" t="s">
        <v>5642</v>
      </c>
      <c r="H1647" s="12"/>
      <c r="I1647" s="13">
        <v>0</v>
      </c>
      <c r="J1647" s="13">
        <v>0</v>
      </c>
      <c r="K1647" s="14" t="str">
        <f>HYPERLINK("http://twitter.com/download/android","Twitter for Android")</f>
        <v>Twitter for Android</v>
      </c>
      <c r="L1647" s="13">
        <v>133</v>
      </c>
      <c r="M1647" s="13">
        <v>253</v>
      </c>
      <c r="N1647" s="13">
        <v>0</v>
      </c>
      <c r="O1647" s="15"/>
      <c r="P1647" s="6">
        <v>40248.492060185185</v>
      </c>
      <c r="Q1647" s="16" t="s">
        <v>5643</v>
      </c>
      <c r="R1647" s="17" t="s">
        <v>5644</v>
      </c>
      <c r="S1647" s="12"/>
      <c r="T1647" s="12"/>
      <c r="U1647" s="10" t="str">
        <f>HYPERLINK("https://pbs.twimg.com/profile_images/1009132191798964226/562vOsCA.jpg","View")</f>
        <v>View</v>
      </c>
    </row>
    <row r="1648" spans="1:21" ht="20.399999999999999">
      <c r="A1648" s="6">
        <v>43437.105833333335</v>
      </c>
      <c r="B1648" s="7" t="str">
        <f>HYPERLINK("https://twitter.com/nomaspatanes","@nomaspatanes")</f>
        <v>@nomaspatanes</v>
      </c>
      <c r="C1648" s="8" t="s">
        <v>5645</v>
      </c>
      <c r="D1648" s="9" t="s">
        <v>5646</v>
      </c>
      <c r="E1648" s="10" t="str">
        <f>HYPERLINK("https://twitter.com/nomaspatanes/status/1069403947620810753","1069403947620810753")</f>
        <v>1069403947620810753</v>
      </c>
      <c r="F1648" s="12"/>
      <c r="G1648" s="12"/>
      <c r="H1648" s="12"/>
      <c r="I1648" s="13">
        <v>0</v>
      </c>
      <c r="J1648" s="13">
        <v>0</v>
      </c>
      <c r="K1648" s="14" t="str">
        <f>HYPERLINK("https://mobile.twitter.com","Twitter Lite")</f>
        <v>Twitter Lite</v>
      </c>
      <c r="L1648" s="13">
        <v>154</v>
      </c>
      <c r="M1648" s="13">
        <v>88</v>
      </c>
      <c r="N1648" s="13">
        <v>11</v>
      </c>
      <c r="O1648" s="15"/>
      <c r="P1648" s="6">
        <v>40263.747662037036</v>
      </c>
      <c r="Q1648" s="16" t="s">
        <v>715</v>
      </c>
      <c r="R1648" s="17" t="s">
        <v>5647</v>
      </c>
      <c r="S1648" s="11" t="s">
        <v>5648</v>
      </c>
      <c r="T1648" s="12"/>
      <c r="U1648" s="10" t="str">
        <f>HYPERLINK("https://pbs.twimg.com/profile_images/1064834280273182721/F3GMqVcZ.jpg","View")</f>
        <v>View</v>
      </c>
    </row>
    <row r="1649" spans="1:21" ht="51">
      <c r="A1649" s="6">
        <v>43437.100810185184</v>
      </c>
      <c r="B1649" s="7" t="str">
        <f>HYPERLINK("https://twitter.com/Nazarenorenzi","@Nazarenorenzi")</f>
        <v>@Nazarenorenzi</v>
      </c>
      <c r="C1649" s="8" t="s">
        <v>5649</v>
      </c>
      <c r="D1649" s="9" t="s">
        <v>5650</v>
      </c>
      <c r="E1649" s="10" t="str">
        <f>HYPERLINK("https://twitter.com/Nazarenorenzi/status/1069402129981308928","1069402129981308928")</f>
        <v>1069402129981308928</v>
      </c>
      <c r="F1649" s="12"/>
      <c r="G1649" s="12"/>
      <c r="H1649" s="12"/>
      <c r="I1649" s="13">
        <v>1</v>
      </c>
      <c r="J1649" s="13">
        <v>1</v>
      </c>
      <c r="K1649" s="14" t="str">
        <f>HYPERLINK("http://twitter.com","Twitter Web Client")</f>
        <v>Twitter Web Client</v>
      </c>
      <c r="L1649" s="13">
        <v>84</v>
      </c>
      <c r="M1649" s="13">
        <v>168</v>
      </c>
      <c r="N1649" s="13">
        <v>1</v>
      </c>
      <c r="O1649" s="15"/>
      <c r="P1649" s="6">
        <v>41733.261944444443</v>
      </c>
      <c r="Q1649" s="16" t="s">
        <v>5651</v>
      </c>
      <c r="R1649" s="20"/>
      <c r="S1649" s="12"/>
      <c r="T1649" s="12"/>
      <c r="U1649" s="10" t="str">
        <f>HYPERLINK("https://pbs.twimg.com/profile_images/607834715664601088/-sB8ycGt.jpg","View")</f>
        <v>View</v>
      </c>
    </row>
    <row r="1650" spans="1:21" ht="51">
      <c r="A1650" s="6">
        <v>43437.099328703705</v>
      </c>
      <c r="B1650" s="7" t="str">
        <f>HYPERLINK("https://twitter.com/PdeSamos","@PdeSamos")</f>
        <v>@PdeSamos</v>
      </c>
      <c r="C1650" s="8" t="s">
        <v>5652</v>
      </c>
      <c r="D1650" s="9" t="s">
        <v>5638</v>
      </c>
      <c r="E1650" s="10" t="str">
        <f>HYPERLINK("https://twitter.com/PdeSamos/status/1069401593022480384","1069401593022480384")</f>
        <v>1069401593022480384</v>
      </c>
      <c r="F1650" s="12"/>
      <c r="G1650" s="12"/>
      <c r="H1650" s="12"/>
      <c r="I1650" s="13">
        <v>0</v>
      </c>
      <c r="J1650" s="13">
        <v>0</v>
      </c>
      <c r="K1650" s="14" t="str">
        <f>HYPERLINK("http://republico.ddns.net","App Libertad PdeSamos")</f>
        <v>App Libertad PdeSamos</v>
      </c>
      <c r="L1650" s="13">
        <v>5398</v>
      </c>
      <c r="M1650" s="13">
        <v>5441</v>
      </c>
      <c r="N1650" s="13">
        <v>12</v>
      </c>
      <c r="O1650" s="15"/>
      <c r="P1650" s="6">
        <v>42889.820567129631</v>
      </c>
      <c r="Q1650" s="16" t="s">
        <v>5653</v>
      </c>
      <c r="R1650" s="17" t="s">
        <v>5654</v>
      </c>
      <c r="S1650" s="12"/>
      <c r="T1650" s="12"/>
      <c r="U1650" s="10" t="str">
        <f>HYPERLINK("https://pbs.twimg.com/profile_images/871063742003511296/xK2IYbrO.jpg","View")</f>
        <v>View</v>
      </c>
    </row>
    <row r="1651" spans="1:21" ht="51">
      <c r="A1651" s="6">
        <v>43437.097777777773</v>
      </c>
      <c r="B1651" s="7" t="str">
        <f>HYPERLINK("https://twitter.com/AdeSiracusa","@AdeSiracusa")</f>
        <v>@AdeSiracusa</v>
      </c>
      <c r="C1651" s="8" t="s">
        <v>5655</v>
      </c>
      <c r="D1651" s="9" t="s">
        <v>5638</v>
      </c>
      <c r="E1651" s="10" t="str">
        <f>HYPERLINK("https://twitter.com/AdeSiracusa/status/1069401029605769216","1069401029605769216")</f>
        <v>1069401029605769216</v>
      </c>
      <c r="F1651" s="12"/>
      <c r="G1651" s="12"/>
      <c r="H1651" s="12"/>
      <c r="I1651" s="13">
        <v>0</v>
      </c>
      <c r="J1651" s="13">
        <v>1</v>
      </c>
      <c r="K1651" s="14" t="str">
        <f>HYPERLINK("http://www.republicosvenezuela.com/","AdeSiracusa")</f>
        <v>AdeSiracusa</v>
      </c>
      <c r="L1651" s="13">
        <v>4091</v>
      </c>
      <c r="M1651" s="13">
        <v>4122</v>
      </c>
      <c r="N1651" s="13">
        <v>12</v>
      </c>
      <c r="O1651" s="15"/>
      <c r="P1651" s="6">
        <v>42958.576388888891</v>
      </c>
      <c r="Q1651" s="16" t="s">
        <v>882</v>
      </c>
      <c r="R1651" s="17" t="s">
        <v>5656</v>
      </c>
      <c r="S1651" s="12"/>
      <c r="T1651" s="12"/>
      <c r="U1651" s="10" t="str">
        <f>HYPERLINK("https://pbs.twimg.com/profile_images/895978354591105024/x2wNXrPl.jpg","View")</f>
        <v>View</v>
      </c>
    </row>
    <row r="1652" spans="1:21" ht="81.599999999999994">
      <c r="A1652" s="6">
        <v>43437.096192129626</v>
      </c>
      <c r="B1652" s="7" t="str">
        <f>HYPERLINK("https://twitter.com/Goncha10","@Goncha10")</f>
        <v>@Goncha10</v>
      </c>
      <c r="C1652" s="8" t="s">
        <v>5657</v>
      </c>
      <c r="D1652" s="9" t="s">
        <v>5658</v>
      </c>
      <c r="E1652" s="10" t="str">
        <f>HYPERLINK("https://twitter.com/Goncha10/status/1069400453069316096","1069400453069316096")</f>
        <v>1069400453069316096</v>
      </c>
      <c r="F1652" s="11" t="s">
        <v>5659</v>
      </c>
      <c r="G1652" s="11" t="s">
        <v>5660</v>
      </c>
      <c r="H1652" s="12"/>
      <c r="I1652" s="13">
        <v>0</v>
      </c>
      <c r="J1652" s="13">
        <v>1</v>
      </c>
      <c r="K1652" s="14" t="str">
        <f>HYPERLINK("http://twitter.com/download/iphone","Twitter for iPhone")</f>
        <v>Twitter for iPhone</v>
      </c>
      <c r="L1652" s="13">
        <v>330</v>
      </c>
      <c r="M1652" s="13">
        <v>452</v>
      </c>
      <c r="N1652" s="13">
        <v>4</v>
      </c>
      <c r="O1652" s="15"/>
      <c r="P1652" s="6">
        <v>40592.775775462964</v>
      </c>
      <c r="Q1652" s="16" t="s">
        <v>5661</v>
      </c>
      <c r="R1652" s="17" t="s">
        <v>5662</v>
      </c>
      <c r="S1652" s="11" t="s">
        <v>5663</v>
      </c>
      <c r="T1652" s="12"/>
      <c r="U1652" s="10" t="str">
        <f>HYPERLINK("https://pbs.twimg.com/profile_images/1054753229303623681/xHeWA-JA.jpg","View")</f>
        <v>View</v>
      </c>
    </row>
    <row r="1653" spans="1:21" ht="30.6">
      <c r="A1653" s="6">
        <v>43437.094363425931</v>
      </c>
      <c r="B1653" s="7" t="str">
        <f>HYPERLINK("https://twitter.com/juanmalamet","@juanmalamet")</f>
        <v>@juanmalamet</v>
      </c>
      <c r="C1653" s="8" t="s">
        <v>329</v>
      </c>
      <c r="D1653" s="9" t="s">
        <v>5321</v>
      </c>
      <c r="E1653" s="10" t="str">
        <f>HYPERLINK("https://twitter.com/juanmalamet/status/1069399793242382336","1069399793242382336")</f>
        <v>1069399793242382336</v>
      </c>
      <c r="F1653" s="11" t="s">
        <v>5081</v>
      </c>
      <c r="G1653" s="12"/>
      <c r="H1653" s="12"/>
      <c r="I1653" s="13">
        <v>0</v>
      </c>
      <c r="J1653" s="13">
        <v>0</v>
      </c>
      <c r="K1653" s="14" t="str">
        <f>HYPERLINK("http://twitter.com/download/android","Twitter for Android")</f>
        <v>Twitter for Android</v>
      </c>
      <c r="L1653" s="13">
        <v>5097</v>
      </c>
      <c r="M1653" s="13">
        <v>1758</v>
      </c>
      <c r="N1653" s="13">
        <v>151</v>
      </c>
      <c r="O1653" s="15"/>
      <c r="P1653" s="6">
        <v>40417.810729166667</v>
      </c>
      <c r="Q1653" s="16" t="s">
        <v>332</v>
      </c>
      <c r="R1653" s="17" t="s">
        <v>333</v>
      </c>
      <c r="S1653" s="12"/>
      <c r="T1653" s="12"/>
      <c r="U1653" s="10" t="str">
        <f>HYPERLINK("https://pbs.twimg.com/profile_images/1038932595508240384/Cdfn4Nk8.jpg","View")</f>
        <v>View</v>
      </c>
    </row>
    <row r="1654" spans="1:21" ht="51">
      <c r="A1654" s="6">
        <v>43437.087233796294</v>
      </c>
      <c r="B1654" s="7" t="str">
        <f>HYPERLINK("https://twitter.com/sandragccabrera","@sandragccabrera")</f>
        <v>@sandragccabrera</v>
      </c>
      <c r="C1654" s="8" t="s">
        <v>5664</v>
      </c>
      <c r="D1654" s="9" t="s">
        <v>5665</v>
      </c>
      <c r="E1654" s="10" t="str">
        <f>HYPERLINK("https://twitter.com/sandragccabrera/status/1069397207055515649","1069397207055515649")</f>
        <v>1069397207055515649</v>
      </c>
      <c r="F1654" s="11" t="s">
        <v>5666</v>
      </c>
      <c r="G1654" s="12"/>
      <c r="H1654" s="12"/>
      <c r="I1654" s="13">
        <v>0</v>
      </c>
      <c r="J1654" s="13">
        <v>0</v>
      </c>
      <c r="K1654" s="14" t="str">
        <f>HYPERLINK("http://twitter.com","Twitter Web Client")</f>
        <v>Twitter Web Client</v>
      </c>
      <c r="L1654" s="13">
        <v>1555</v>
      </c>
      <c r="M1654" s="13">
        <v>2616</v>
      </c>
      <c r="N1654" s="13">
        <v>32</v>
      </c>
      <c r="O1654" s="15"/>
      <c r="P1654" s="6">
        <v>40468.178344907406</v>
      </c>
      <c r="Q1654" s="16" t="s">
        <v>5667</v>
      </c>
      <c r="R1654" s="17" t="s">
        <v>5668</v>
      </c>
      <c r="S1654" s="11" t="s">
        <v>5669</v>
      </c>
      <c r="T1654" s="12"/>
      <c r="U1654" s="10" t="str">
        <f>HYPERLINK("https://pbs.twimg.com/profile_images/1054158775836438528/B2TxkAJW.jpg","View")</f>
        <v>View</v>
      </c>
    </row>
    <row r="1655" spans="1:21" ht="40.799999999999997">
      <c r="A1655" s="6">
        <v>43437.082395833335</v>
      </c>
      <c r="B1655" s="7" t="str">
        <f>HYPERLINK("https://twitter.com/Mrruben130475","@Mrruben130475")</f>
        <v>@Mrruben130475</v>
      </c>
      <c r="C1655" s="8" t="s">
        <v>5670</v>
      </c>
      <c r="D1655" s="9" t="s">
        <v>5671</v>
      </c>
      <c r="E1655" s="10" t="str">
        <f>HYPERLINK("https://twitter.com/Mrruben130475/status/1069395456155889666","1069395456155889666")</f>
        <v>1069395456155889666</v>
      </c>
      <c r="F1655" s="12"/>
      <c r="G1655" s="12"/>
      <c r="H1655" s="12"/>
      <c r="I1655" s="13">
        <v>0</v>
      </c>
      <c r="J1655" s="13">
        <v>0</v>
      </c>
      <c r="K1655" s="14" t="str">
        <f>HYPERLINK("https://mobile.twitter.com","Twitter Lite")</f>
        <v>Twitter Lite</v>
      </c>
      <c r="L1655" s="13">
        <v>48</v>
      </c>
      <c r="M1655" s="13">
        <v>111</v>
      </c>
      <c r="N1655" s="13">
        <v>1</v>
      </c>
      <c r="O1655" s="15"/>
      <c r="P1655" s="6">
        <v>40827.366863425923</v>
      </c>
      <c r="Q1655" s="16" t="s">
        <v>5672</v>
      </c>
      <c r="R1655" s="17" t="s">
        <v>5673</v>
      </c>
      <c r="S1655" s="12"/>
      <c r="T1655" s="12"/>
      <c r="U1655" s="10" t="str">
        <f>HYPERLINK("https://pbs.twimg.com/profile_images/1069282168210423808/GjjPDD_F.jpg","View")</f>
        <v>View</v>
      </c>
    </row>
    <row r="1656" spans="1:21" ht="40.799999999999997">
      <c r="A1656" s="6">
        <v>43437.076226851852</v>
      </c>
      <c r="B1656" s="7" t="str">
        <f>HYPERLINK("https://twitter.com/AgenciaAtlas","@AgenciaAtlas")</f>
        <v>@AgenciaAtlas</v>
      </c>
      <c r="C1656" s="8" t="s">
        <v>5674</v>
      </c>
      <c r="D1656" s="9" t="s">
        <v>5675</v>
      </c>
      <c r="E1656" s="10" t="str">
        <f>HYPERLINK("https://twitter.com/AgenciaAtlas/status/1069393219161636867","1069393219161636867")</f>
        <v>1069393219161636867</v>
      </c>
      <c r="F1656" s="11" t="s">
        <v>5676</v>
      </c>
      <c r="G1656" s="12"/>
      <c r="H1656" s="12"/>
      <c r="I1656" s="13">
        <v>0</v>
      </c>
      <c r="J1656" s="13">
        <v>0</v>
      </c>
      <c r="K1656" s="14" t="str">
        <f>HYPERLINK("http://twitter.com","Twitter Web Client")</f>
        <v>Twitter Web Client</v>
      </c>
      <c r="L1656" s="13">
        <v>3159</v>
      </c>
      <c r="M1656" s="13">
        <v>657</v>
      </c>
      <c r="N1656" s="13">
        <v>129</v>
      </c>
      <c r="O1656" s="15"/>
      <c r="P1656" s="6">
        <v>40977.703530092593</v>
      </c>
      <c r="Q1656" s="16" t="s">
        <v>109</v>
      </c>
      <c r="R1656" s="17" t="s">
        <v>5677</v>
      </c>
      <c r="S1656" s="11" t="s">
        <v>5678</v>
      </c>
      <c r="T1656" s="12"/>
      <c r="U1656" s="10" t="str">
        <f>HYPERLINK("https://pbs.twimg.com/profile_images/1066041088463519746/fy037KwY.jpg","View")</f>
        <v>View</v>
      </c>
    </row>
    <row r="1657" spans="1:21" ht="20.399999999999999">
      <c r="A1657" s="6">
        <v>43437.073009259257</v>
      </c>
      <c r="B1657" s="7" t="str">
        <f>HYPERLINK("https://twitter.com/L20mOtros","@L20mOtros")</f>
        <v>@L20mOtros</v>
      </c>
      <c r="C1657" s="8" t="s">
        <v>182</v>
      </c>
      <c r="D1657" s="9" t="s">
        <v>5598</v>
      </c>
      <c r="E1657" s="10" t="str">
        <f>HYPERLINK("https://twitter.com/L20mOtros/status/1069392054059499520","1069392054059499520")</f>
        <v>1069392054059499520</v>
      </c>
      <c r="F1657" s="11" t="s">
        <v>5679</v>
      </c>
      <c r="G1657" s="11" t="s">
        <v>5680</v>
      </c>
      <c r="H1657" s="12"/>
      <c r="I1657" s="13">
        <v>0</v>
      </c>
      <c r="J1657" s="13">
        <v>0</v>
      </c>
      <c r="K1657" s="14" t="str">
        <f>HYPERLINK("http://dogtrack.es","DogTrack_Oficial")</f>
        <v>DogTrack_Oficial</v>
      </c>
      <c r="L1657" s="13">
        <v>23</v>
      </c>
      <c r="M1657" s="13">
        <v>8</v>
      </c>
      <c r="N1657" s="13">
        <v>0</v>
      </c>
      <c r="O1657" s="15"/>
      <c r="P1657" s="6">
        <v>41285.602418981478</v>
      </c>
      <c r="Q1657" s="12"/>
      <c r="R1657" s="20"/>
      <c r="S1657" s="11" t="s">
        <v>187</v>
      </c>
      <c r="T1657" s="12"/>
      <c r="U1657" s="10" t="str">
        <f>HYPERLINK("https://pbs.twimg.com/profile_images/3148562799/6854a445e373c5053b43f5c11d764b41.jpeg","View")</f>
        <v>View</v>
      </c>
    </row>
    <row r="1658" spans="1:21" ht="51">
      <c r="A1658" s="6">
        <v>43437.068171296298</v>
      </c>
      <c r="B1658" s="7" t="str">
        <f>HYPERLINK("https://twitter.com/Claraquesiguapi","@Claraquesiguapi")</f>
        <v>@Claraquesiguapi</v>
      </c>
      <c r="C1658" s="8" t="s">
        <v>5681</v>
      </c>
      <c r="D1658" s="9" t="s">
        <v>5682</v>
      </c>
      <c r="E1658" s="10" t="str">
        <f>HYPERLINK("https://twitter.com/Claraquesiguapi/status/1069390300299309058","1069390300299309058")</f>
        <v>1069390300299309058</v>
      </c>
      <c r="F1658" s="12"/>
      <c r="G1658" s="12"/>
      <c r="H1658" s="12"/>
      <c r="I1658" s="13">
        <v>5</v>
      </c>
      <c r="J1658" s="13">
        <v>8</v>
      </c>
      <c r="K1658" s="14" t="str">
        <f>HYPERLINK("http://twitter.com/download/iphone","Twitter for iPhone")</f>
        <v>Twitter for iPhone</v>
      </c>
      <c r="L1658" s="13">
        <v>111</v>
      </c>
      <c r="M1658" s="13">
        <v>176</v>
      </c>
      <c r="N1658" s="13">
        <v>0</v>
      </c>
      <c r="O1658" s="15"/>
      <c r="P1658" s="6">
        <v>41446.788912037038</v>
      </c>
      <c r="Q1658" s="16" t="s">
        <v>353</v>
      </c>
      <c r="R1658" s="17" t="s">
        <v>5683</v>
      </c>
      <c r="S1658" s="12"/>
      <c r="T1658" s="12"/>
      <c r="U1658" s="10" t="str">
        <f>HYPERLINK("https://pbs.twimg.com/profile_images/1003736051121344512/ysfr_3Zt.jpg","View")</f>
        <v>View</v>
      </c>
    </row>
    <row r="1659" spans="1:21" ht="40.799999999999997">
      <c r="A1659" s="6">
        <v>43437.058715277773</v>
      </c>
      <c r="B1659" s="7" t="str">
        <f>HYPERLINK("https://twitter.com/rojosevillano","@rojosevillano")</f>
        <v>@rojosevillano</v>
      </c>
      <c r="C1659" s="8" t="s">
        <v>5684</v>
      </c>
      <c r="D1659" s="9" t="s">
        <v>5685</v>
      </c>
      <c r="E1659" s="10" t="str">
        <f>HYPERLINK("https://twitter.com/rojosevillano/status/1069386871908851712","1069386871908851712")</f>
        <v>1069386871908851712</v>
      </c>
      <c r="F1659" s="11" t="s">
        <v>5686</v>
      </c>
      <c r="G1659" s="12"/>
      <c r="H1659" s="12"/>
      <c r="I1659" s="13">
        <v>8</v>
      </c>
      <c r="J1659" s="13">
        <v>12</v>
      </c>
      <c r="K1659" s="14" t="str">
        <f>HYPERLINK("http://twitter.com/download/android","Twitter for Android")</f>
        <v>Twitter for Android</v>
      </c>
      <c r="L1659" s="13">
        <v>6657</v>
      </c>
      <c r="M1659" s="13">
        <v>3929</v>
      </c>
      <c r="N1659" s="13">
        <v>138</v>
      </c>
      <c r="O1659" s="15"/>
      <c r="P1659" s="6">
        <v>40668.935115740736</v>
      </c>
      <c r="Q1659" s="16" t="s">
        <v>735</v>
      </c>
      <c r="R1659" s="17" t="s">
        <v>5687</v>
      </c>
      <c r="S1659" s="11" t="s">
        <v>5688</v>
      </c>
      <c r="T1659" s="12"/>
      <c r="U1659" s="10" t="str">
        <f>HYPERLINK("https://pbs.twimg.com/profile_images/914207563088097281/XDwFQ_vg.jpg","View")</f>
        <v>View</v>
      </c>
    </row>
    <row r="1660" spans="1:21" ht="51">
      <c r="A1660" s="6">
        <v>43437.050856481481</v>
      </c>
      <c r="B1660" s="7" t="str">
        <f>HYPERLINK("https://twitter.com/pablo_carba","@pablo_carba")</f>
        <v>@pablo_carba</v>
      </c>
      <c r="C1660" s="8" t="s">
        <v>5689</v>
      </c>
      <c r="D1660" s="9" t="s">
        <v>5690</v>
      </c>
      <c r="E1660" s="10" t="str">
        <f>HYPERLINK("https://twitter.com/pablo_carba/status/1069384026492932096","1069384026492932096")</f>
        <v>1069384026492932096</v>
      </c>
      <c r="F1660" s="12"/>
      <c r="G1660" s="12"/>
      <c r="H1660" s="12"/>
      <c r="I1660" s="13">
        <v>34</v>
      </c>
      <c r="J1660" s="13">
        <v>47</v>
      </c>
      <c r="K1660" s="14" t="str">
        <f>HYPERLINK("http://twitter.com/download/iphone","Twitter for iPhone")</f>
        <v>Twitter for iPhone</v>
      </c>
      <c r="L1660" s="13">
        <v>2619</v>
      </c>
      <c r="M1660" s="13">
        <v>782</v>
      </c>
      <c r="N1660" s="13">
        <v>82</v>
      </c>
      <c r="O1660" s="15"/>
      <c r="P1660" s="6">
        <v>40648.714050925926</v>
      </c>
      <c r="Q1660" s="16" t="s">
        <v>5691</v>
      </c>
      <c r="R1660" s="17" t="s">
        <v>5692</v>
      </c>
      <c r="S1660" s="12"/>
      <c r="T1660" s="12"/>
      <c r="U1660" s="10" t="str">
        <f>HYPERLINK("https://pbs.twimg.com/profile_images/880552569130688512/4J5qhrSG.jpg","View")</f>
        <v>View</v>
      </c>
    </row>
    <row r="1661" spans="1:21" ht="51">
      <c r="A1661" s="6">
        <v>43437.050034722226</v>
      </c>
      <c r="B1661" s="7" t="str">
        <f>HYPERLINK("https://twitter.com/pierrecampoy","@pierrecampoy")</f>
        <v>@pierrecampoy</v>
      </c>
      <c r="C1661" s="8" t="s">
        <v>5693</v>
      </c>
      <c r="D1661" s="9" t="s">
        <v>5694</v>
      </c>
      <c r="E1661" s="10" t="str">
        <f>HYPERLINK("https://twitter.com/pierrecampoy/status/1069383727367823363","1069383727367823363")</f>
        <v>1069383727367823363</v>
      </c>
      <c r="F1661" s="12"/>
      <c r="G1661" s="12"/>
      <c r="H1661" s="12"/>
      <c r="I1661" s="13">
        <v>3</v>
      </c>
      <c r="J1661" s="13">
        <v>3</v>
      </c>
      <c r="K1661" s="14" t="str">
        <f>HYPERLINK("http://twitter.com","Twitter Web Client")</f>
        <v>Twitter Web Client</v>
      </c>
      <c r="L1661" s="13">
        <v>454</v>
      </c>
      <c r="M1661" s="13">
        <v>956</v>
      </c>
      <c r="N1661" s="13">
        <v>4</v>
      </c>
      <c r="O1661" s="15"/>
      <c r="P1661" s="6">
        <v>40882.64570601852</v>
      </c>
      <c r="Q1661" s="12"/>
      <c r="R1661" s="17" t="s">
        <v>5695</v>
      </c>
      <c r="S1661" s="12"/>
      <c r="T1661" s="12"/>
      <c r="U1661" s="10" t="str">
        <f>HYPERLINK("https://pbs.twimg.com/profile_images/502627501882216448/uitZBF5R.jpeg","View")</f>
        <v>View</v>
      </c>
    </row>
    <row r="1662" spans="1:21" ht="30.6">
      <c r="A1662" s="6">
        <v>43437.04886574074</v>
      </c>
      <c r="B1662" s="7" t="str">
        <f>HYPERLINK("https://twitter.com/RominaGioPeron","@RominaGioPeron")</f>
        <v>@RominaGioPeron</v>
      </c>
      <c r="C1662" s="8" t="s">
        <v>5696</v>
      </c>
      <c r="D1662" s="9" t="s">
        <v>5697</v>
      </c>
      <c r="E1662" s="10" t="str">
        <f>HYPERLINK("https://twitter.com/RominaGioPeron/status/1069383304774860801","1069383304774860801")</f>
        <v>1069383304774860801</v>
      </c>
      <c r="F1662" s="12"/>
      <c r="G1662" s="12"/>
      <c r="H1662" s="12"/>
      <c r="I1662" s="13">
        <v>0</v>
      </c>
      <c r="J1662" s="13">
        <v>1</v>
      </c>
      <c r="K1662" s="14" t="str">
        <f>HYPERLINK("https://mobile.twitter.com","Twitter Lite")</f>
        <v>Twitter Lite</v>
      </c>
      <c r="L1662" s="13">
        <v>2194</v>
      </c>
      <c r="M1662" s="13">
        <v>61</v>
      </c>
      <c r="N1662" s="13">
        <v>17</v>
      </c>
      <c r="O1662" s="15"/>
      <c r="P1662" s="6">
        <v>42170.535844907412</v>
      </c>
      <c r="Q1662" s="12"/>
      <c r="R1662" s="17" t="s">
        <v>5698</v>
      </c>
      <c r="S1662" s="12"/>
      <c r="T1662" s="12"/>
      <c r="U1662" s="10" t="str">
        <f>HYPERLINK("https://pbs.twimg.com/profile_images/610400366249791488/mmSUxnoI.jpg","View")</f>
        <v>View</v>
      </c>
    </row>
    <row r="1663" spans="1:21" ht="61.2">
      <c r="A1663" s="6">
        <v>43437.04487268519</v>
      </c>
      <c r="B1663" s="7" t="str">
        <f>HYPERLINK("https://twitter.com/Xuxipc","@Xuxipc")</f>
        <v>@Xuxipc</v>
      </c>
      <c r="C1663" s="8" t="s">
        <v>5699</v>
      </c>
      <c r="D1663" s="9" t="s">
        <v>5700</v>
      </c>
      <c r="E1663" s="10" t="str">
        <f>HYPERLINK("https://twitter.com/Xuxipc/status/1069381855751876609","1069381855751876609")</f>
        <v>1069381855751876609</v>
      </c>
      <c r="F1663" s="11" t="s">
        <v>5701</v>
      </c>
      <c r="G1663" s="11" t="s">
        <v>5702</v>
      </c>
      <c r="H1663" s="12"/>
      <c r="I1663" s="13">
        <v>21</v>
      </c>
      <c r="J1663" s="13">
        <v>36</v>
      </c>
      <c r="K1663" s="14" t="str">
        <f>HYPERLINK("http://twitter.com/download/android","Twitter for Android")</f>
        <v>Twitter for Android</v>
      </c>
      <c r="L1663" s="13">
        <v>182354</v>
      </c>
      <c r="M1663" s="13">
        <v>289</v>
      </c>
      <c r="N1663" s="13">
        <v>1252</v>
      </c>
      <c r="O1663" s="15"/>
      <c r="P1663" s="6">
        <v>41297.668078703704</v>
      </c>
      <c r="Q1663" s="16" t="s">
        <v>3604</v>
      </c>
      <c r="R1663" s="17" t="s">
        <v>5703</v>
      </c>
      <c r="S1663" s="11" t="s">
        <v>5704</v>
      </c>
      <c r="T1663" s="12"/>
      <c r="U1663" s="10" t="str">
        <f>HYPERLINK("https://pbs.twimg.com/profile_images/1066104710476849152/Eh1J3dVa.jpg","View")</f>
        <v>View</v>
      </c>
    </row>
    <row r="1664" spans="1:21" ht="40.799999999999997">
      <c r="A1664" s="6">
        <v>43437.044502314813</v>
      </c>
      <c r="B1664" s="7" t="str">
        <f>HYPERLINK("https://twitter.com/zapper_news","@zapper_news")</f>
        <v>@zapper_news</v>
      </c>
      <c r="C1664" s="8" t="s">
        <v>26</v>
      </c>
      <c r="D1664" s="9" t="s">
        <v>348</v>
      </c>
      <c r="E1664" s="10" t="str">
        <f>HYPERLINK("https://twitter.com/zapper_news/status/1069381724700897280","1069381724700897280")</f>
        <v>1069381724700897280</v>
      </c>
      <c r="F1664" s="11" t="s">
        <v>28</v>
      </c>
      <c r="G1664" s="11" t="s">
        <v>349</v>
      </c>
      <c r="H1664" s="12"/>
      <c r="I1664" s="13">
        <v>0</v>
      </c>
      <c r="J1664" s="13">
        <v>0</v>
      </c>
      <c r="K1664" s="14" t="str">
        <f>HYPERLINK("http://www.tier.be","Stats Now")</f>
        <v>Stats Now</v>
      </c>
      <c r="L1664" s="13">
        <v>285</v>
      </c>
      <c r="M1664" s="13">
        <v>1845</v>
      </c>
      <c r="N1664" s="13">
        <v>0</v>
      </c>
      <c r="O1664" s="15"/>
      <c r="P1664" s="6">
        <v>42874.842048611114</v>
      </c>
      <c r="Q1664" s="16" t="s">
        <v>30</v>
      </c>
      <c r="R1664" s="17" t="s">
        <v>32</v>
      </c>
      <c r="S1664" s="11" t="s">
        <v>33</v>
      </c>
      <c r="T1664" s="12"/>
      <c r="U1664" s="10" t="str">
        <f>HYPERLINK("https://pbs.twimg.com/profile_images/1011404142210961408/ffUw_4XH.jpg","View")</f>
        <v>View</v>
      </c>
    </row>
    <row r="1665" spans="1:21" ht="30.6">
      <c r="A1665" s="6">
        <v>43437.039756944447</v>
      </c>
      <c r="B1665" s="7" t="str">
        <f>HYPERLINK("https://twitter.com/rawinrawin","@rawinrawin")</f>
        <v>@rawinrawin</v>
      </c>
      <c r="C1665" s="8" t="s">
        <v>5705</v>
      </c>
      <c r="D1665" s="9" t="s">
        <v>5706</v>
      </c>
      <c r="E1665" s="10" t="str">
        <f>HYPERLINK("https://twitter.com/rawinrawin/status/1069380004881018880","1069380004881018880")</f>
        <v>1069380004881018880</v>
      </c>
      <c r="F1665" s="12"/>
      <c r="G1665" s="12"/>
      <c r="H1665" s="12"/>
      <c r="I1665" s="13">
        <v>0</v>
      </c>
      <c r="J1665" s="13">
        <v>0</v>
      </c>
      <c r="K1665" s="14" t="str">
        <f>HYPERLINK("http://twitter.com/download/iphone","Twitter for iPhone")</f>
        <v>Twitter for iPhone</v>
      </c>
      <c r="L1665" s="13">
        <v>209</v>
      </c>
      <c r="M1665" s="13">
        <v>124</v>
      </c>
      <c r="N1665" s="13">
        <v>1</v>
      </c>
      <c r="O1665" s="15"/>
      <c r="P1665" s="6">
        <v>40598.969270833331</v>
      </c>
      <c r="Q1665" s="12"/>
      <c r="R1665" s="17" t="s">
        <v>5707</v>
      </c>
      <c r="S1665" s="12"/>
      <c r="T1665" s="12"/>
      <c r="U1665" s="10" t="str">
        <f>HYPERLINK("https://pbs.twimg.com/profile_images/1024598812093042689/ZzIax2lx.jpg","View")</f>
        <v>View</v>
      </c>
    </row>
    <row r="1666" spans="1:21" ht="51">
      <c r="A1666" s="6">
        <v>43437.039652777778</v>
      </c>
      <c r="B1666" s="7" t="str">
        <f>HYPERLINK("https://twitter.com/PatriotaNene","@PatriotaNene")</f>
        <v>@PatriotaNene</v>
      </c>
      <c r="C1666" s="8" t="s">
        <v>5708</v>
      </c>
      <c r="D1666" s="9" t="s">
        <v>5709</v>
      </c>
      <c r="E1666" s="10" t="str">
        <f>HYPERLINK("https://twitter.com/PatriotaNene/status/1069379964766703617","1069379964766703617")</f>
        <v>1069379964766703617</v>
      </c>
      <c r="F1666" s="12"/>
      <c r="G1666" s="12"/>
      <c r="H1666" s="12"/>
      <c r="I1666" s="13">
        <v>2</v>
      </c>
      <c r="J1666" s="13">
        <v>16</v>
      </c>
      <c r="K1666" s="14" t="str">
        <f>HYPERLINK("https://mobile.twitter.com","Twitter Lite")</f>
        <v>Twitter Lite</v>
      </c>
      <c r="L1666" s="13">
        <v>8335</v>
      </c>
      <c r="M1666" s="13">
        <v>1971</v>
      </c>
      <c r="N1666" s="13">
        <v>52</v>
      </c>
      <c r="O1666" s="15"/>
      <c r="P1666" s="6">
        <v>42413.167222222226</v>
      </c>
      <c r="Q1666" s="16" t="s">
        <v>5710</v>
      </c>
      <c r="R1666" s="17" t="s">
        <v>5711</v>
      </c>
      <c r="S1666" s="12"/>
      <c r="T1666" s="12"/>
      <c r="U1666" s="10" t="str">
        <f>HYPERLINK("https://pbs.twimg.com/profile_images/984160089396441089/jXDkkxlk.jpg","View")</f>
        <v>View</v>
      </c>
    </row>
    <row r="1667" spans="1:21" ht="61.2">
      <c r="A1667" s="6">
        <v>43437.038564814815</v>
      </c>
      <c r="B1667" s="7" t="str">
        <f>HYPERLINK("https://twitter.com/diegorubiio","@diegorubiio")</f>
        <v>@diegorubiio</v>
      </c>
      <c r="C1667" s="8" t="s">
        <v>5712</v>
      </c>
      <c r="D1667" s="9" t="s">
        <v>5713</v>
      </c>
      <c r="E1667" s="10" t="str">
        <f>HYPERLINK("https://twitter.com/diegorubiio/status/1069379572049870850","1069379572049870850")</f>
        <v>1069379572049870850</v>
      </c>
      <c r="F1667" s="16" t="s">
        <v>5714</v>
      </c>
      <c r="G1667" s="11" t="s">
        <v>5715</v>
      </c>
      <c r="H1667" s="12"/>
      <c r="I1667" s="13">
        <v>0</v>
      </c>
      <c r="J1667" s="13">
        <v>1</v>
      </c>
      <c r="K1667" s="14" t="str">
        <f t="shared" ref="K1667:K1668" si="288">HYPERLINK("http://twitter.com","Twitter Web Client")</f>
        <v>Twitter Web Client</v>
      </c>
      <c r="L1667" s="13">
        <v>202</v>
      </c>
      <c r="M1667" s="13">
        <v>176</v>
      </c>
      <c r="N1667" s="13">
        <v>0</v>
      </c>
      <c r="O1667" s="15"/>
      <c r="P1667" s="6">
        <v>41186.009456018517</v>
      </c>
      <c r="Q1667" s="16" t="s">
        <v>229</v>
      </c>
      <c r="R1667" s="17" t="s">
        <v>5716</v>
      </c>
      <c r="S1667" s="12"/>
      <c r="T1667" s="12"/>
      <c r="U1667" s="10" t="str">
        <f>HYPERLINK("https://pbs.twimg.com/profile_images/1068247525889585158/pjAA-Bro.jpg","View")</f>
        <v>View</v>
      </c>
    </row>
    <row r="1668" spans="1:21" ht="30.6">
      <c r="A1668" s="6">
        <v>43437.033437499995</v>
      </c>
      <c r="B1668" s="7" t="str">
        <f>HYPERLINK("https://twitter.com/Noticias24horas","@Noticias24horas")</f>
        <v>@Noticias24horas</v>
      </c>
      <c r="C1668" s="8" t="s">
        <v>5717</v>
      </c>
      <c r="D1668" s="9" t="s">
        <v>5718</v>
      </c>
      <c r="E1668" s="10" t="str">
        <f>HYPERLINK("https://twitter.com/Noticias24horas/status/1069377714984034304","1069377714984034304")</f>
        <v>1069377714984034304</v>
      </c>
      <c r="F1668" s="11" t="s">
        <v>5719</v>
      </c>
      <c r="G1668" s="12"/>
      <c r="H1668" s="12"/>
      <c r="I1668" s="13">
        <v>0</v>
      </c>
      <c r="J1668" s="13">
        <v>0</v>
      </c>
      <c r="K1668" s="14" t="str">
        <f t="shared" si="288"/>
        <v>Twitter Web Client</v>
      </c>
      <c r="L1668" s="13">
        <v>48038</v>
      </c>
      <c r="M1668" s="13">
        <v>14717</v>
      </c>
      <c r="N1668" s="13">
        <v>624</v>
      </c>
      <c r="O1668" s="15"/>
      <c r="P1668" s="6">
        <v>39799.161666666667</v>
      </c>
      <c r="Q1668" s="16" t="s">
        <v>5720</v>
      </c>
      <c r="R1668" s="17" t="s">
        <v>5721</v>
      </c>
      <c r="S1668" s="11" t="s">
        <v>5722</v>
      </c>
      <c r="T1668" s="12"/>
      <c r="U1668" s="10" t="str">
        <f>HYPERLINK("https://pbs.twimg.com/profile_images/739091131011567616/GfKL7dJ1.jpg","View")</f>
        <v>View</v>
      </c>
    </row>
    <row r="1669" spans="1:21" ht="40.799999999999997">
      <c r="A1669" s="6">
        <v>43437.032141203701</v>
      </c>
      <c r="B1669" s="7" t="str">
        <f>HYPERLINK("https://twitter.com/Rakelmarkos","@Rakelmarkos")</f>
        <v>@Rakelmarkos</v>
      </c>
      <c r="C1669" s="8" t="s">
        <v>5723</v>
      </c>
      <c r="D1669" s="9" t="s">
        <v>5724</v>
      </c>
      <c r="E1669" s="10" t="str">
        <f>HYPERLINK("https://twitter.com/Rakelmarkos/status/1069377242483105803","1069377242483105803")</f>
        <v>1069377242483105803</v>
      </c>
      <c r="F1669" s="12"/>
      <c r="G1669" s="12"/>
      <c r="H1669" s="12"/>
      <c r="I1669" s="13">
        <v>0</v>
      </c>
      <c r="J1669" s="13">
        <v>6</v>
      </c>
      <c r="K1669" s="14" t="str">
        <f>HYPERLINK("http://twitter.com/download/iphone","Twitter for iPhone")</f>
        <v>Twitter for iPhone</v>
      </c>
      <c r="L1669" s="13">
        <v>3754</v>
      </c>
      <c r="M1669" s="13">
        <v>2051</v>
      </c>
      <c r="N1669" s="13">
        <v>100</v>
      </c>
      <c r="O1669" s="15"/>
      <c r="P1669" s="6">
        <v>40186.848356481481</v>
      </c>
      <c r="Q1669" s="16" t="s">
        <v>191</v>
      </c>
      <c r="R1669" s="17" t="s">
        <v>5725</v>
      </c>
      <c r="S1669" s="12"/>
      <c r="T1669" s="12"/>
      <c r="U1669" s="10" t="str">
        <f>HYPERLINK("https://pbs.twimg.com/profile_images/962679294613999618/IXYvTxD5.jpg","View")</f>
        <v>View</v>
      </c>
    </row>
    <row r="1670" spans="1:21" ht="30.6">
      <c r="A1670" s="6">
        <v>43437.032037037032</v>
      </c>
      <c r="B1670" s="7" t="str">
        <f>HYPERLINK("https://twitter.com/sinheira","@sinheira")</f>
        <v>@sinheira</v>
      </c>
      <c r="C1670" s="8" t="s">
        <v>5726</v>
      </c>
      <c r="D1670" s="9" t="s">
        <v>5727</v>
      </c>
      <c r="E1670" s="10" t="str">
        <f>HYPERLINK("https://twitter.com/sinheira/status/1069377204063211520","1069377204063211520")</f>
        <v>1069377204063211520</v>
      </c>
      <c r="F1670" s="12"/>
      <c r="G1670" s="11" t="s">
        <v>5728</v>
      </c>
      <c r="H1670" s="12"/>
      <c r="I1670" s="13">
        <v>7</v>
      </c>
      <c r="J1670" s="13">
        <v>19</v>
      </c>
      <c r="K1670" s="14" t="str">
        <f t="shared" ref="K1670:K1671" si="289">HYPERLINK("http://twitter.com/download/android","Twitter for Android")</f>
        <v>Twitter for Android</v>
      </c>
      <c r="L1670" s="13">
        <v>3347</v>
      </c>
      <c r="M1670" s="13">
        <v>4533</v>
      </c>
      <c r="N1670" s="13">
        <v>31</v>
      </c>
      <c r="O1670" s="15"/>
      <c r="P1670" s="6">
        <v>41522.029548611114</v>
      </c>
      <c r="Q1670" s="16" t="s">
        <v>5729</v>
      </c>
      <c r="R1670" s="17" t="s">
        <v>5730</v>
      </c>
      <c r="S1670" s="11" t="s">
        <v>5731</v>
      </c>
      <c r="T1670" s="12"/>
      <c r="U1670" s="10" t="str">
        <f>HYPERLINK("https://pbs.twimg.com/profile_images/1007763163457163266/k3WdmRQV.jpg","View")</f>
        <v>View</v>
      </c>
    </row>
    <row r="1671" spans="1:21" ht="30.6">
      <c r="A1671" s="6">
        <v>43437.028032407412</v>
      </c>
      <c r="B1671" s="7" t="str">
        <f>HYPERLINK("https://twitter.com/MarioP93","@MarioP93")</f>
        <v>@MarioP93</v>
      </c>
      <c r="C1671" s="8" t="s">
        <v>5732</v>
      </c>
      <c r="D1671" s="9" t="s">
        <v>5733</v>
      </c>
      <c r="E1671" s="10" t="str">
        <f>HYPERLINK("https://twitter.com/MarioP93/status/1069375752855007232","1069375752855007232")</f>
        <v>1069375752855007232</v>
      </c>
      <c r="F1671" s="12"/>
      <c r="G1671" s="12"/>
      <c r="H1671" s="12"/>
      <c r="I1671" s="13">
        <v>0</v>
      </c>
      <c r="J1671" s="13">
        <v>0</v>
      </c>
      <c r="K1671" s="14" t="str">
        <f t="shared" si="289"/>
        <v>Twitter for Android</v>
      </c>
      <c r="L1671" s="13">
        <v>354</v>
      </c>
      <c r="M1671" s="13">
        <v>554</v>
      </c>
      <c r="N1671" s="13">
        <v>3</v>
      </c>
      <c r="O1671" s="15"/>
      <c r="P1671" s="6">
        <v>40324.775196759263</v>
      </c>
      <c r="Q1671" s="16" t="s">
        <v>389</v>
      </c>
      <c r="R1671" s="17" t="s">
        <v>5734</v>
      </c>
      <c r="S1671" s="12"/>
      <c r="T1671" s="12"/>
      <c r="U1671" s="10" t="str">
        <f>HYPERLINK("https://pbs.twimg.com/profile_images/573595332296196096/-rZ8d5xA.jpeg","View")</f>
        <v>View</v>
      </c>
    </row>
    <row r="1672" spans="1:21" ht="20.399999999999999">
      <c r="A1672" s="6">
        <v>43437.027858796297</v>
      </c>
      <c r="B1672" s="7" t="str">
        <f>HYPERLINK("https://twitter.com/annatrillo","@annatrillo")</f>
        <v>@annatrillo</v>
      </c>
      <c r="C1672" s="8" t="s">
        <v>3913</v>
      </c>
      <c r="D1672" s="9" t="s">
        <v>5735</v>
      </c>
      <c r="E1672" s="10" t="str">
        <f>HYPERLINK("https://twitter.com/annatrillo/status/1069375689252642819","1069375689252642819")</f>
        <v>1069375689252642819</v>
      </c>
      <c r="F1672" s="12"/>
      <c r="G1672" s="12"/>
      <c r="H1672" s="12"/>
      <c r="I1672" s="13">
        <v>0</v>
      </c>
      <c r="J1672" s="13">
        <v>2</v>
      </c>
      <c r="K1672" s="14" t="str">
        <f>HYPERLINK("http://twitter.com","Twitter Web Client")</f>
        <v>Twitter Web Client</v>
      </c>
      <c r="L1672" s="13">
        <v>77</v>
      </c>
      <c r="M1672" s="13">
        <v>64</v>
      </c>
      <c r="N1672" s="13">
        <v>2</v>
      </c>
      <c r="O1672" s="15"/>
      <c r="P1672" s="6">
        <v>40442.907083333332</v>
      </c>
      <c r="Q1672" s="16" t="s">
        <v>5736</v>
      </c>
      <c r="R1672" s="17" t="s">
        <v>5737</v>
      </c>
      <c r="S1672" s="12"/>
      <c r="T1672" s="12"/>
      <c r="U1672" s="10" t="str">
        <f>HYPERLINK("https://pbs.twimg.com/profile_images/892786217024184322/zXyabD5a.jpg","View")</f>
        <v>View</v>
      </c>
    </row>
    <row r="1673" spans="1:21" ht="20.399999999999999">
      <c r="A1673" s="6">
        <v>43437.026898148149</v>
      </c>
      <c r="B1673" s="7" t="str">
        <f>HYPERLINK("https://twitter.com/Jacque_Cantos","@Jacque_Cantos")</f>
        <v>@Jacque_Cantos</v>
      </c>
      <c r="C1673" s="8" t="s">
        <v>5738</v>
      </c>
      <c r="D1673" s="9" t="s">
        <v>5739</v>
      </c>
      <c r="E1673" s="10" t="str">
        <f>HYPERLINK("https://twitter.com/Jacque_Cantos/status/1069375343214116864","1069375343214116864")</f>
        <v>1069375343214116864</v>
      </c>
      <c r="F1673" s="12"/>
      <c r="G1673" s="12"/>
      <c r="H1673" s="12"/>
      <c r="I1673" s="13">
        <v>0</v>
      </c>
      <c r="J1673" s="13">
        <v>1</v>
      </c>
      <c r="K1673" s="14" t="str">
        <f>HYPERLINK("http://twitter.com/download/android","Twitter for Android")</f>
        <v>Twitter for Android</v>
      </c>
      <c r="L1673" s="13">
        <v>335</v>
      </c>
      <c r="M1673" s="13">
        <v>658</v>
      </c>
      <c r="N1673" s="13">
        <v>1</v>
      </c>
      <c r="O1673" s="15"/>
      <c r="P1673" s="6">
        <v>40562.808437500003</v>
      </c>
      <c r="Q1673" s="16" t="s">
        <v>5740</v>
      </c>
      <c r="R1673" s="17" t="s">
        <v>5741</v>
      </c>
      <c r="S1673" s="12"/>
      <c r="T1673" s="12"/>
      <c r="U1673" s="10" t="str">
        <f>HYPERLINK("https://pbs.twimg.com/profile_images/952632017300094982/lnQYu0Af.jpg","View")</f>
        <v>View</v>
      </c>
    </row>
    <row r="1674" spans="1:21" ht="51">
      <c r="A1674" s="6">
        <v>43437.025960648149</v>
      </c>
      <c r="B1674" s="7" t="str">
        <f>HYPERLINK("https://twitter.com/hermanntertsch","@hermanntertsch")</f>
        <v>@hermanntertsch</v>
      </c>
      <c r="C1674" s="8" t="s">
        <v>5742</v>
      </c>
      <c r="D1674" s="9" t="s">
        <v>5638</v>
      </c>
      <c r="E1674" s="10" t="str">
        <f>HYPERLINK("https://twitter.com/hermanntertsch/status/1069375003400028160","1069375003400028160")</f>
        <v>1069375003400028160</v>
      </c>
      <c r="F1674" s="12"/>
      <c r="G1674" s="12"/>
      <c r="H1674" s="12"/>
      <c r="I1674" s="13">
        <v>210</v>
      </c>
      <c r="J1674" s="13">
        <v>655</v>
      </c>
      <c r="K1674" s="14" t="str">
        <f>HYPERLINK("http://twitter.com/download/iphone","Twitter for iPhone")</f>
        <v>Twitter for iPhone</v>
      </c>
      <c r="L1674" s="13">
        <v>127751</v>
      </c>
      <c r="M1674" s="13">
        <v>3122</v>
      </c>
      <c r="N1674" s="13">
        <v>2145</v>
      </c>
      <c r="O1674" s="15"/>
      <c r="P1674" s="6">
        <v>40599.27952546296</v>
      </c>
      <c r="Q1674" s="12"/>
      <c r="R1674" s="17" t="s">
        <v>5743</v>
      </c>
      <c r="S1674" s="12"/>
      <c r="T1674" s="12"/>
      <c r="U1674" s="10" t="str">
        <f>HYPERLINK("https://pbs.twimg.com/profile_images/857488336243576833/VZ0sdsQO.jpg","View")</f>
        <v>View</v>
      </c>
    </row>
    <row r="1675" spans="1:21" ht="30.6">
      <c r="A1675" s="6">
        <v>43437.02548611111</v>
      </c>
      <c r="B1675" s="7" t="str">
        <f>HYPERLINK("https://twitter.com/GoldExperienceR","@GoldExperienceR")</f>
        <v>@GoldExperienceR</v>
      </c>
      <c r="C1675" s="8" t="s">
        <v>5744</v>
      </c>
      <c r="D1675" s="9" t="s">
        <v>5745</v>
      </c>
      <c r="E1675" s="10" t="str">
        <f>HYPERLINK("https://twitter.com/GoldExperienceR/status/1069374830850514944","1069374830850514944")</f>
        <v>1069374830850514944</v>
      </c>
      <c r="F1675" s="12"/>
      <c r="G1675" s="12"/>
      <c r="H1675" s="12"/>
      <c r="I1675" s="13">
        <v>0</v>
      </c>
      <c r="J1675" s="13">
        <v>0</v>
      </c>
      <c r="K1675" s="14" t="str">
        <f>HYPERLINK("http://twitter.com","Twitter Web Client")</f>
        <v>Twitter Web Client</v>
      </c>
      <c r="L1675" s="13">
        <v>192</v>
      </c>
      <c r="M1675" s="13">
        <v>362</v>
      </c>
      <c r="N1675" s="13">
        <v>3</v>
      </c>
      <c r="O1675" s="15"/>
      <c r="P1675" s="6">
        <v>41290.629421296297</v>
      </c>
      <c r="Q1675" s="16" t="s">
        <v>5746</v>
      </c>
      <c r="R1675" s="17" t="s">
        <v>5747</v>
      </c>
      <c r="S1675" s="11" t="s">
        <v>5748</v>
      </c>
      <c r="T1675" s="12"/>
      <c r="U1675" s="10" t="str">
        <f>HYPERLINK("https://pbs.twimg.com/profile_images/1064551719823175682/-9695zdE.jpg","View")</f>
        <v>View</v>
      </c>
    </row>
    <row r="1676" spans="1:21" ht="40.799999999999997">
      <c r="A1676" s="6">
        <v>43437.023518518516</v>
      </c>
      <c r="B1676" s="7" t="str">
        <f>HYPERLINK("https://twitter.com/jzuazola","@jzuazola")</f>
        <v>@jzuazola</v>
      </c>
      <c r="C1676" s="8" t="s">
        <v>5749</v>
      </c>
      <c r="D1676" s="9" t="s">
        <v>5750</v>
      </c>
      <c r="E1676" s="10" t="str">
        <f>HYPERLINK("https://twitter.com/jzuazola/status/1069374120448729093","1069374120448729093")</f>
        <v>1069374120448729093</v>
      </c>
      <c r="F1676" s="11" t="s">
        <v>5081</v>
      </c>
      <c r="G1676" s="12"/>
      <c r="H1676" s="12"/>
      <c r="I1676" s="13">
        <v>0</v>
      </c>
      <c r="J1676" s="13">
        <v>0</v>
      </c>
      <c r="K1676" s="14" t="str">
        <f>HYPERLINK("http://www.facebook.com/twitter","Facebook")</f>
        <v>Facebook</v>
      </c>
      <c r="L1676" s="13">
        <v>1662</v>
      </c>
      <c r="M1676" s="13">
        <v>4777</v>
      </c>
      <c r="N1676" s="13">
        <v>123</v>
      </c>
      <c r="O1676" s="15"/>
      <c r="P1676" s="6">
        <v>39941.545381944445</v>
      </c>
      <c r="Q1676" s="16" t="s">
        <v>5751</v>
      </c>
      <c r="R1676" s="17" t="s">
        <v>5752</v>
      </c>
      <c r="S1676" s="12"/>
      <c r="T1676" s="12"/>
      <c r="U1676" s="10" t="str">
        <f>HYPERLINK("https://pbs.twimg.com/profile_images/1392816248/jzuazola_profile_from_David_sin_ojeras.jpg","View")</f>
        <v>View</v>
      </c>
    </row>
    <row r="1677" spans="1:21" ht="40.799999999999997">
      <c r="A1677" s="6">
        <v>43437.023402777777</v>
      </c>
      <c r="B1677" s="7" t="str">
        <f>HYPERLINK("https://twitter.com/Adannae","@Adannae")</f>
        <v>@Adannae</v>
      </c>
      <c r="C1677" s="8" t="s">
        <v>5753</v>
      </c>
      <c r="D1677" s="9" t="s">
        <v>5754</v>
      </c>
      <c r="E1677" s="10" t="str">
        <f>HYPERLINK("https://twitter.com/Adannae/status/1069374077670998016","1069374077670998016")</f>
        <v>1069374077670998016</v>
      </c>
      <c r="F1677" s="12"/>
      <c r="G1677" s="11" t="s">
        <v>5755</v>
      </c>
      <c r="H1677" s="12"/>
      <c r="I1677" s="13">
        <v>1</v>
      </c>
      <c r="J1677" s="13">
        <v>3</v>
      </c>
      <c r="K1677" s="14" t="str">
        <f>HYPERLINK("http://twitter.com/download/android","Twitter for Android")</f>
        <v>Twitter for Android</v>
      </c>
      <c r="L1677" s="13">
        <v>3009</v>
      </c>
      <c r="M1677" s="13">
        <v>2567</v>
      </c>
      <c r="N1677" s="13">
        <v>30</v>
      </c>
      <c r="O1677" s="15"/>
      <c r="P1677" s="6">
        <v>40160.556307870371</v>
      </c>
      <c r="Q1677" s="16" t="s">
        <v>48</v>
      </c>
      <c r="R1677" s="17" t="s">
        <v>5756</v>
      </c>
      <c r="S1677" s="11" t="s">
        <v>5757</v>
      </c>
      <c r="T1677" s="12"/>
      <c r="U1677" s="10" t="str">
        <f>HYPERLINK("https://pbs.twimg.com/profile_images/1060232822420656129/69l9JhJ7.jpg","View")</f>
        <v>View</v>
      </c>
    </row>
    <row r="1678" spans="1:21" ht="40.799999999999997">
      <c r="A1678" s="6">
        <v>43437.022314814814</v>
      </c>
      <c r="B1678" s="7" t="str">
        <f>HYPERLINK("https://twitter.com/mipsicoanalisis","@mipsicoanalisis")</f>
        <v>@mipsicoanalisis</v>
      </c>
      <c r="C1678" s="8" t="s">
        <v>5758</v>
      </c>
      <c r="D1678" s="9" t="s">
        <v>5759</v>
      </c>
      <c r="E1678" s="10" t="str">
        <f>HYPERLINK("https://twitter.com/mipsicoanalisis/status/1069373680847855616","1069373680847855616")</f>
        <v>1069373680847855616</v>
      </c>
      <c r="F1678" s="12"/>
      <c r="G1678" s="12"/>
      <c r="H1678" s="12"/>
      <c r="I1678" s="13">
        <v>0</v>
      </c>
      <c r="J1678" s="13">
        <v>0</v>
      </c>
      <c r="K1678" s="14" t="str">
        <f>HYPERLINK("https://onloft.com/tweetlogix","Tweetlogix")</f>
        <v>Tweetlogix</v>
      </c>
      <c r="L1678" s="13">
        <v>1804</v>
      </c>
      <c r="M1678" s="13">
        <v>1116</v>
      </c>
      <c r="N1678" s="13">
        <v>51</v>
      </c>
      <c r="O1678" s="15"/>
      <c r="P1678" s="6">
        <v>40762.976481481484</v>
      </c>
      <c r="Q1678" s="16" t="s">
        <v>5760</v>
      </c>
      <c r="R1678" s="17" t="s">
        <v>5761</v>
      </c>
      <c r="S1678" s="12"/>
      <c r="T1678" s="12"/>
      <c r="U1678" s="10" t="str">
        <f>HYPERLINK("https://pbs.twimg.com/profile_images/1034073519531929601/a8tt48ag.jpg","View")</f>
        <v>View</v>
      </c>
    </row>
    <row r="1679" spans="1:21" ht="20.399999999999999">
      <c r="A1679" s="6">
        <v>43437.022129629629</v>
      </c>
      <c r="B1679" s="7" t="str">
        <f>HYPERLINK("https://twitter.com/isitaymeme","@isitaymeme")</f>
        <v>@isitaymeme</v>
      </c>
      <c r="C1679" s="8" t="s">
        <v>5762</v>
      </c>
      <c r="D1679" s="9" t="s">
        <v>5763</v>
      </c>
      <c r="E1679" s="10" t="str">
        <f>HYPERLINK("https://twitter.com/isitaymeme/status/1069373613978079232","1069373613978079232")</f>
        <v>1069373613978079232</v>
      </c>
      <c r="F1679" s="11" t="s">
        <v>5764</v>
      </c>
      <c r="G1679" s="12"/>
      <c r="H1679" s="12"/>
      <c r="I1679" s="13">
        <v>0</v>
      </c>
      <c r="J1679" s="13">
        <v>1</v>
      </c>
      <c r="K1679" s="14" t="str">
        <f>HYPERLINK("http://twitter.com","Twitter Web Client")</f>
        <v>Twitter Web Client</v>
      </c>
      <c r="L1679" s="13">
        <v>6640</v>
      </c>
      <c r="M1679" s="13">
        <v>7007</v>
      </c>
      <c r="N1679" s="13">
        <v>283</v>
      </c>
      <c r="O1679" s="15"/>
      <c r="P1679" s="6">
        <v>41052.835312499999</v>
      </c>
      <c r="Q1679" s="16" t="s">
        <v>5765</v>
      </c>
      <c r="R1679" s="17" t="s">
        <v>5766</v>
      </c>
      <c r="S1679" s="12"/>
      <c r="T1679" s="12"/>
      <c r="U1679" s="10" t="str">
        <f>HYPERLINK("https://pbs.twimg.com/profile_images/1066488062413279233/acX7vm0b.jpg","View")</f>
        <v>View</v>
      </c>
    </row>
    <row r="1680" spans="1:21" ht="30.6">
      <c r="A1680" s="6">
        <v>43437.019583333335</v>
      </c>
      <c r="B1680" s="7" t="str">
        <f>HYPERLINK("https://twitter.com/olivia201908","@olivia201908")</f>
        <v>@olivia201908</v>
      </c>
      <c r="C1680" s="8" t="s">
        <v>5767</v>
      </c>
      <c r="D1680" s="9" t="s">
        <v>5768</v>
      </c>
      <c r="E1680" s="10" t="str">
        <f>HYPERLINK("https://twitter.com/olivia201908/status/1069372692892127232","1069372692892127232")</f>
        <v>1069372692892127232</v>
      </c>
      <c r="F1680" s="12"/>
      <c r="G1680" s="12"/>
      <c r="H1680" s="12"/>
      <c r="I1680" s="13">
        <v>1</v>
      </c>
      <c r="J1680" s="13">
        <v>9</v>
      </c>
      <c r="K1680" s="14" t="str">
        <f>HYPERLINK("http://twitter.com/download/iphone","Twitter for iPhone")</f>
        <v>Twitter for iPhone</v>
      </c>
      <c r="L1680" s="13">
        <v>837</v>
      </c>
      <c r="M1680" s="13">
        <v>724</v>
      </c>
      <c r="N1680" s="13">
        <v>1</v>
      </c>
      <c r="O1680" s="15"/>
      <c r="P1680" s="6">
        <v>43114.5628125</v>
      </c>
      <c r="Q1680" s="16" t="s">
        <v>30</v>
      </c>
      <c r="R1680" s="17" t="s">
        <v>5769</v>
      </c>
      <c r="S1680" s="12"/>
      <c r="T1680" s="12"/>
      <c r="U1680" s="10" t="str">
        <f>HYPERLINK("https://pbs.twimg.com/profile_images/1058803265830293504/scPY9CJv.jpg","View")</f>
        <v>View</v>
      </c>
    </row>
    <row r="1681" spans="1:21" ht="51">
      <c r="A1681" s="6">
        <v>43437.018842592588</v>
      </c>
      <c r="B1681" s="7" t="str">
        <f>HYPERLINK("https://twitter.com/PartidoURD","@PartidoURD")</f>
        <v>@PartidoURD</v>
      </c>
      <c r="C1681" s="8" t="s">
        <v>5770</v>
      </c>
      <c r="D1681" s="9" t="s">
        <v>5771</v>
      </c>
      <c r="E1681" s="10" t="str">
        <f>HYPERLINK("https://twitter.com/PartidoURD/status/1069372425538871296","1069372425538871296")</f>
        <v>1069372425538871296</v>
      </c>
      <c r="F1681" s="12"/>
      <c r="G1681" s="12"/>
      <c r="H1681" s="12"/>
      <c r="I1681" s="13">
        <v>0</v>
      </c>
      <c r="J1681" s="13">
        <v>0</v>
      </c>
      <c r="K1681" s="14" t="str">
        <f>HYPERLINK("http://twitter.com","Twitter Web Client")</f>
        <v>Twitter Web Client</v>
      </c>
      <c r="L1681" s="13">
        <v>1115</v>
      </c>
      <c r="M1681" s="13">
        <v>3157</v>
      </c>
      <c r="N1681" s="13">
        <v>13</v>
      </c>
      <c r="O1681" s="15"/>
      <c r="P1681" s="6">
        <v>41128.688425925924</v>
      </c>
      <c r="Q1681" s="16" t="s">
        <v>861</v>
      </c>
      <c r="R1681" s="17" t="s">
        <v>5772</v>
      </c>
      <c r="S1681" s="12"/>
      <c r="T1681" s="12"/>
      <c r="U1681" s="10" t="str">
        <f>HYPERLINK("https://pbs.twimg.com/profile_images/2478706294/a5wfp1t1bxc0dl65gm8d.jpeg","View")</f>
        <v>View</v>
      </c>
    </row>
    <row r="1682" spans="1:21" ht="40.799999999999997">
      <c r="A1682" s="6">
        <v>43437.017314814817</v>
      </c>
      <c r="B1682" s="7" t="str">
        <f>HYPERLINK("https://twitter.com/JMTR1986","@JMTR1986")</f>
        <v>@JMTR1986</v>
      </c>
      <c r="C1682" s="8" t="s">
        <v>5773</v>
      </c>
      <c r="D1682" s="9" t="s">
        <v>5774</v>
      </c>
      <c r="E1682" s="10" t="str">
        <f>HYPERLINK("https://twitter.com/JMTR1986/status/1069371869135101952","1069371869135101952")</f>
        <v>1069371869135101952</v>
      </c>
      <c r="F1682" s="12"/>
      <c r="G1682" s="12"/>
      <c r="H1682" s="12"/>
      <c r="I1682" s="13">
        <v>1</v>
      </c>
      <c r="J1682" s="13">
        <v>2</v>
      </c>
      <c r="K1682" s="14" t="str">
        <f>HYPERLINK("http://twitter.com/download/android","Twitter for Android")</f>
        <v>Twitter for Android</v>
      </c>
      <c r="L1682" s="13">
        <v>4339</v>
      </c>
      <c r="M1682" s="13">
        <v>1459</v>
      </c>
      <c r="N1682" s="13">
        <v>35</v>
      </c>
      <c r="O1682" s="15"/>
      <c r="P1682" s="6">
        <v>41543.514016203706</v>
      </c>
      <c r="Q1682" s="16" t="s">
        <v>5775</v>
      </c>
      <c r="R1682" s="17" t="s">
        <v>5776</v>
      </c>
      <c r="S1682" s="11" t="s">
        <v>5777</v>
      </c>
      <c r="T1682" s="12"/>
      <c r="U1682" s="10" t="str">
        <f>HYPERLINK("https://pbs.twimg.com/profile_images/844672544473055232/rZnQCv30.jpg","View")</f>
        <v>View</v>
      </c>
    </row>
    <row r="1683" spans="1:21" ht="30.6">
      <c r="A1683" s="6">
        <v>43437.016655092593</v>
      </c>
      <c r="B1683" s="7" t="str">
        <f>HYPERLINK("https://twitter.com/PilarHLuc","@PilarHLuc")</f>
        <v>@PilarHLuc</v>
      </c>
      <c r="C1683" s="8" t="s">
        <v>1223</v>
      </c>
      <c r="D1683" s="9" t="s">
        <v>5778</v>
      </c>
      <c r="E1683" s="10" t="str">
        <f>HYPERLINK("https://twitter.com/PilarHLuc/status/1069371632945414147","1069371632945414147")</f>
        <v>1069371632945414147</v>
      </c>
      <c r="F1683" s="12"/>
      <c r="G1683" s="11" t="s">
        <v>5475</v>
      </c>
      <c r="H1683" s="12"/>
      <c r="I1683" s="13">
        <v>297</v>
      </c>
      <c r="J1683" s="13">
        <v>375</v>
      </c>
      <c r="K1683" s="14" t="str">
        <f>HYPERLINK("http://twitter.com/download/iphone","Twitter for iPhone")</f>
        <v>Twitter for iPhone</v>
      </c>
      <c r="L1683" s="13">
        <v>18664</v>
      </c>
      <c r="M1683" s="13">
        <v>2485</v>
      </c>
      <c r="N1683" s="13">
        <v>192</v>
      </c>
      <c r="O1683" s="15"/>
      <c r="P1683" s="6">
        <v>40717.584317129629</v>
      </c>
      <c r="Q1683" s="12"/>
      <c r="R1683" s="17" t="s">
        <v>1226</v>
      </c>
      <c r="S1683" s="12"/>
      <c r="T1683" s="12"/>
      <c r="U1683" s="10" t="str">
        <f>HYPERLINK("https://pbs.twimg.com/profile_images/1005542787985690624/Hpi3Huaq.jpg","View")</f>
        <v>View</v>
      </c>
    </row>
    <row r="1684" spans="1:21" ht="30.6">
      <c r="A1684" s="6">
        <v>43437.014004629629</v>
      </c>
      <c r="B1684" s="7" t="str">
        <f>HYPERLINK("https://twitter.com/Mikel962","@Mikel962")</f>
        <v>@Mikel962</v>
      </c>
      <c r="C1684" s="8" t="s">
        <v>5779</v>
      </c>
      <c r="D1684" s="9" t="s">
        <v>5780</v>
      </c>
      <c r="E1684" s="10" t="str">
        <f>HYPERLINK("https://twitter.com/Mikel962/status/1069370670772031489","1069370670772031489")</f>
        <v>1069370670772031489</v>
      </c>
      <c r="F1684" s="12"/>
      <c r="G1684" s="12"/>
      <c r="H1684" s="12"/>
      <c r="I1684" s="13">
        <v>0</v>
      </c>
      <c r="J1684" s="13">
        <v>0</v>
      </c>
      <c r="K1684" s="14" t="str">
        <f t="shared" ref="K1684:K1685" si="290">HYPERLINK("http://twitter.com/download/android","Twitter for Android")</f>
        <v>Twitter for Android</v>
      </c>
      <c r="L1684" s="13">
        <v>152</v>
      </c>
      <c r="M1684" s="13">
        <v>106</v>
      </c>
      <c r="N1684" s="13">
        <v>0</v>
      </c>
      <c r="O1684" s="15"/>
      <c r="P1684" s="6">
        <v>43381.99417824074</v>
      </c>
      <c r="Q1684" s="16" t="s">
        <v>5775</v>
      </c>
      <c r="R1684" s="17" t="s">
        <v>5781</v>
      </c>
      <c r="S1684" s="11" t="s">
        <v>5782</v>
      </c>
      <c r="T1684" s="12"/>
      <c r="U1684" s="10" t="str">
        <f>HYPERLINK("https://pbs.twimg.com/profile_images/1071145885038465024/SbgDvSqg.jpg","View")</f>
        <v>View</v>
      </c>
    </row>
    <row r="1685" spans="1:21" ht="30.6">
      <c r="A1685" s="6">
        <v>43437.013877314814</v>
      </c>
      <c r="B1685" s="7" t="str">
        <f>HYPERLINK("https://twitter.com/planeterito","@planeterito")</f>
        <v>@planeterito</v>
      </c>
      <c r="C1685" s="8" t="s">
        <v>5783</v>
      </c>
      <c r="D1685" s="9" t="s">
        <v>5784</v>
      </c>
      <c r="E1685" s="10" t="str">
        <f>HYPERLINK("https://twitter.com/planeterito/status/1069370624987070464","1069370624987070464")</f>
        <v>1069370624987070464</v>
      </c>
      <c r="F1685" s="12"/>
      <c r="G1685" s="11" t="s">
        <v>5785</v>
      </c>
      <c r="H1685" s="12"/>
      <c r="I1685" s="13">
        <v>53</v>
      </c>
      <c r="J1685" s="13">
        <v>77</v>
      </c>
      <c r="K1685" s="14" t="str">
        <f t="shared" si="290"/>
        <v>Twitter for Android</v>
      </c>
      <c r="L1685" s="13">
        <v>2090</v>
      </c>
      <c r="M1685" s="13">
        <v>875</v>
      </c>
      <c r="N1685" s="13">
        <v>21</v>
      </c>
      <c r="O1685" s="15"/>
      <c r="P1685" s="6">
        <v>41177.041481481479</v>
      </c>
      <c r="Q1685" s="16" t="s">
        <v>5786</v>
      </c>
      <c r="R1685" s="17" t="s">
        <v>5787</v>
      </c>
      <c r="S1685" s="12"/>
      <c r="T1685" s="12"/>
      <c r="U1685" s="10" t="str">
        <f>HYPERLINK("https://pbs.twimg.com/profile_images/955188781161897985/RGb9PXwf.jpg","View")</f>
        <v>View</v>
      </c>
    </row>
    <row r="1686" spans="1:21" ht="30.6">
      <c r="A1686" s="6">
        <v>43437.01363425926</v>
      </c>
      <c r="B1686" s="7" t="str">
        <f>HYPERLINK("https://twitter.com/tvmarbella","@tvmarbella")</f>
        <v>@tvmarbella</v>
      </c>
      <c r="C1686" s="8" t="s">
        <v>5788</v>
      </c>
      <c r="D1686" s="9" t="s">
        <v>5789</v>
      </c>
      <c r="E1686" s="10" t="str">
        <f>HYPERLINK("https://twitter.com/tvmarbella/status/1069370538177544193","1069370538177544193")</f>
        <v>1069370538177544193</v>
      </c>
      <c r="F1686" s="11" t="s">
        <v>5790</v>
      </c>
      <c r="G1686" s="12"/>
      <c r="H1686" s="12"/>
      <c r="I1686" s="13">
        <v>0</v>
      </c>
      <c r="J1686" s="13">
        <v>0</v>
      </c>
      <c r="K1686" s="14" t="str">
        <f>HYPERLINK("https://periscope.tv","Periscope")</f>
        <v>Periscope</v>
      </c>
      <c r="L1686" s="13">
        <v>3130</v>
      </c>
      <c r="M1686" s="13">
        <v>1872</v>
      </c>
      <c r="N1686" s="13">
        <v>42</v>
      </c>
      <c r="O1686" s="15"/>
      <c r="P1686" s="6">
        <v>41105.972500000003</v>
      </c>
      <c r="Q1686" s="16" t="s">
        <v>945</v>
      </c>
      <c r="R1686" s="17" t="s">
        <v>5791</v>
      </c>
      <c r="S1686" s="11" t="s">
        <v>5792</v>
      </c>
      <c r="T1686" s="12"/>
      <c r="U1686" s="10" t="str">
        <f>HYPERLINK("https://pbs.twimg.com/profile_images/3728481467/0a6fbbcd8d25d85070785ec905ad82b1.jpeg","View")</f>
        <v>View</v>
      </c>
    </row>
    <row r="1687" spans="1:21" ht="40.799999999999997">
      <c r="A1687" s="6">
        <v>43437.013460648144</v>
      </c>
      <c r="B1687" s="7" t="str">
        <f>HYPERLINK("https://twitter.com/Canal_Z_","@Canal_Z_")</f>
        <v>@Canal_Z_</v>
      </c>
      <c r="C1687" s="8" t="s">
        <v>3279</v>
      </c>
      <c r="D1687" s="9" t="s">
        <v>5598</v>
      </c>
      <c r="E1687" s="10" t="str">
        <f>HYPERLINK("https://twitter.com/Canal_Z_/status/1069370472779919360","1069370472779919360")</f>
        <v>1069370472779919360</v>
      </c>
      <c r="F1687" s="11" t="s">
        <v>5793</v>
      </c>
      <c r="G1687" s="11" t="s">
        <v>5794</v>
      </c>
      <c r="H1687" s="12"/>
      <c r="I1687" s="13">
        <v>0</v>
      </c>
      <c r="J1687" s="13">
        <v>2</v>
      </c>
      <c r="K1687" s="14" t="str">
        <f>HYPERLINK("http://twitter.com","Twitter Web Client")</f>
        <v>Twitter Web Client</v>
      </c>
      <c r="L1687" s="13">
        <v>2622</v>
      </c>
      <c r="M1687" s="13">
        <v>4996</v>
      </c>
      <c r="N1687" s="13">
        <v>10</v>
      </c>
      <c r="O1687" s="15"/>
      <c r="P1687" s="6">
        <v>41462.275254629625</v>
      </c>
      <c r="Q1687" s="16" t="s">
        <v>48</v>
      </c>
      <c r="R1687" s="17" t="s">
        <v>3282</v>
      </c>
      <c r="S1687" s="12"/>
      <c r="T1687" s="12"/>
      <c r="U1687" s="10" t="str">
        <f>HYPERLINK("https://pbs.twimg.com/profile_images/1008407123242422272/aENpWjy6.jpg","View")</f>
        <v>View</v>
      </c>
    </row>
    <row r="1688" spans="1:21" ht="40.799999999999997">
      <c r="A1688" s="6">
        <v>43437.013182870374</v>
      </c>
      <c r="B1688" s="7" t="str">
        <f>HYPERLINK("https://twitter.com/ecd_","@ecd_")</f>
        <v>@ecd_</v>
      </c>
      <c r="C1688" s="8" t="s">
        <v>740</v>
      </c>
      <c r="D1688" s="9" t="s">
        <v>5795</v>
      </c>
      <c r="E1688" s="10" t="str">
        <f>HYPERLINK("https://twitter.com/ecd_/status/1069370371479080961","1069370371479080961")</f>
        <v>1069370371479080961</v>
      </c>
      <c r="F1688" s="11" t="s">
        <v>5796</v>
      </c>
      <c r="G1688" s="12"/>
      <c r="H1688" s="12"/>
      <c r="I1688" s="13">
        <v>1</v>
      </c>
      <c r="J1688" s="13">
        <v>4</v>
      </c>
      <c r="K1688" s="14" t="str">
        <f>HYPERLINK("http://dogtrack.es","DogTrack_Oficial")</f>
        <v>DogTrack_Oficial</v>
      </c>
      <c r="L1688" s="13">
        <v>88447</v>
      </c>
      <c r="M1688" s="13">
        <v>364</v>
      </c>
      <c r="N1688" s="13">
        <v>2650</v>
      </c>
      <c r="O1688" s="15"/>
      <c r="P1688" s="6">
        <v>39931.730115740742</v>
      </c>
      <c r="Q1688" s="26" t="s">
        <v>743</v>
      </c>
      <c r="R1688" s="17" t="s">
        <v>744</v>
      </c>
      <c r="S1688" s="11" t="s">
        <v>745</v>
      </c>
      <c r="T1688" s="12"/>
      <c r="U1688" s="10" t="str">
        <f>HYPERLINK("https://pbs.twimg.com/profile_images/720595850238554113/Y8DGFyzZ.jpg","View")</f>
        <v>View</v>
      </c>
    </row>
    <row r="1689" spans="1:21" ht="51">
      <c r="A1689" s="6">
        <v>43437.011944444443</v>
      </c>
      <c r="B1689" s="7" t="str">
        <f>HYPERLINK("https://twitter.com/PopularesCeuta","@PopularesCeuta")</f>
        <v>@PopularesCeuta</v>
      </c>
      <c r="C1689" s="8" t="s">
        <v>5797</v>
      </c>
      <c r="D1689" s="9" t="s">
        <v>5798</v>
      </c>
      <c r="E1689" s="10" t="str">
        <f>HYPERLINK("https://twitter.com/PopularesCeuta/status/1069369923254853632","1069369923254853632")</f>
        <v>1069369923254853632</v>
      </c>
      <c r="F1689" s="12"/>
      <c r="G1689" s="11" t="s">
        <v>5799</v>
      </c>
      <c r="H1689" s="12"/>
      <c r="I1689" s="13">
        <v>4</v>
      </c>
      <c r="J1689" s="13">
        <v>5</v>
      </c>
      <c r="K1689" s="14" t="str">
        <f>HYPERLINK("http://twitter.com/download/iphone","Twitter for iPhone")</f>
        <v>Twitter for iPhone</v>
      </c>
      <c r="L1689" s="13">
        <v>2716</v>
      </c>
      <c r="M1689" s="13">
        <v>3608</v>
      </c>
      <c r="N1689" s="13">
        <v>35</v>
      </c>
      <c r="O1689" s="19" t="s">
        <v>44</v>
      </c>
      <c r="P1689" s="6">
        <v>41079.606226851851</v>
      </c>
      <c r="Q1689" s="16" t="s">
        <v>4857</v>
      </c>
      <c r="R1689" s="17" t="s">
        <v>5800</v>
      </c>
      <c r="S1689" s="11" t="s">
        <v>5801</v>
      </c>
      <c r="T1689" s="12"/>
      <c r="U1689" s="10" t="str">
        <f>HYPERLINK("https://pbs.twimg.com/profile_images/1053390549707866113/ZA0CnNxh.jpg","View")</f>
        <v>View</v>
      </c>
    </row>
    <row r="1690" spans="1:21" ht="40.799999999999997">
      <c r="A1690" s="6">
        <v>43437.01163194445</v>
      </c>
      <c r="B1690" s="7" t="str">
        <f>HYPERLINK("https://twitter.com/skakeofanzine","@skakeofanzine")</f>
        <v>@skakeofanzine</v>
      </c>
      <c r="C1690" s="8" t="s">
        <v>5432</v>
      </c>
      <c r="D1690" s="9" t="s">
        <v>5802</v>
      </c>
      <c r="E1690" s="10" t="str">
        <f>HYPERLINK("https://twitter.com/skakeofanzine/status/1069369811828948993","1069369811828948993")</f>
        <v>1069369811828948993</v>
      </c>
      <c r="F1690" s="12"/>
      <c r="G1690" s="11" t="s">
        <v>5803</v>
      </c>
      <c r="H1690" s="12"/>
      <c r="I1690" s="13">
        <v>0</v>
      </c>
      <c r="J1690" s="13">
        <v>2</v>
      </c>
      <c r="K1690" s="14" t="str">
        <f>HYPERLINK("http://twitter.com","Twitter Web Client")</f>
        <v>Twitter Web Client</v>
      </c>
      <c r="L1690" s="13">
        <v>2201</v>
      </c>
      <c r="M1690" s="13">
        <v>1196</v>
      </c>
      <c r="N1690" s="13">
        <v>43</v>
      </c>
      <c r="O1690" s="15"/>
      <c r="P1690" s="6">
        <v>40445.652233796296</v>
      </c>
      <c r="Q1690" s="16" t="s">
        <v>167</v>
      </c>
      <c r="R1690" s="17" t="s">
        <v>5434</v>
      </c>
      <c r="S1690" s="11" t="s">
        <v>5435</v>
      </c>
      <c r="T1690" s="12"/>
      <c r="U1690" s="10" t="str">
        <f>HYPERLINK("https://pbs.twimg.com/profile_images/1130273526/gse_multipart50931.jpg","View")</f>
        <v>View</v>
      </c>
    </row>
    <row r="1691" spans="1:21" ht="30.6">
      <c r="A1691" s="6">
        <v>43437.011249999996</v>
      </c>
      <c r="B1691" s="7" t="str">
        <f>HYPERLINK("https://twitter.com/cayetanosanch","@cayetanosanch")</f>
        <v>@cayetanosanch</v>
      </c>
      <c r="C1691" s="8" t="s">
        <v>5804</v>
      </c>
      <c r="D1691" s="9" t="s">
        <v>5805</v>
      </c>
      <c r="E1691" s="10" t="str">
        <f>HYPERLINK("https://twitter.com/cayetanosanch/status/1069369670619131904","1069369670619131904")</f>
        <v>1069369670619131904</v>
      </c>
      <c r="F1691" s="11" t="s">
        <v>5602</v>
      </c>
      <c r="G1691" s="12"/>
      <c r="H1691" s="12"/>
      <c r="I1691" s="13">
        <v>0</v>
      </c>
      <c r="J1691" s="13">
        <v>0</v>
      </c>
      <c r="K1691" s="14" t="str">
        <f>HYPERLINK("https://www.google.com/","Google")</f>
        <v>Google</v>
      </c>
      <c r="L1691" s="13">
        <v>34</v>
      </c>
      <c r="M1691" s="13">
        <v>92</v>
      </c>
      <c r="N1691" s="13">
        <v>0</v>
      </c>
      <c r="O1691" s="15"/>
      <c r="P1691" s="6">
        <v>41838.378310185188</v>
      </c>
      <c r="Q1691" s="16" t="s">
        <v>735</v>
      </c>
      <c r="R1691" s="20"/>
      <c r="S1691" s="12"/>
      <c r="T1691" s="12"/>
      <c r="U1691" s="10" t="str">
        <f>HYPERLINK("https://pbs.twimg.com/profile_images/1032018359989223428/LtHyU_U7.jpg","View")</f>
        <v>View</v>
      </c>
    </row>
    <row r="1692" spans="1:21" ht="20.399999999999999">
      <c r="A1692" s="6">
        <v>43437.01116898148</v>
      </c>
      <c r="B1692" s="7" t="str">
        <f>HYPERLINK("https://twitter.com/PabloCantabriaI","@PabloCantabriaI")</f>
        <v>@PabloCantabriaI</v>
      </c>
      <c r="C1692" s="8" t="s">
        <v>4245</v>
      </c>
      <c r="D1692" s="9" t="s">
        <v>5806</v>
      </c>
      <c r="E1692" s="10" t="str">
        <f>HYPERLINK("https://twitter.com/PabloCantabriaI/status/1069369642039369728","1069369642039369728")</f>
        <v>1069369642039369728</v>
      </c>
      <c r="F1692" s="12"/>
      <c r="G1692" s="12"/>
      <c r="H1692" s="12"/>
      <c r="I1692" s="13">
        <v>0</v>
      </c>
      <c r="J1692" s="13">
        <v>0</v>
      </c>
      <c r="K1692" s="14" t="str">
        <f>HYPERLINK("http://twitter.com/download/android","Twitter for Android")</f>
        <v>Twitter for Android</v>
      </c>
      <c r="L1692" s="13">
        <v>537</v>
      </c>
      <c r="M1692" s="13">
        <v>2223</v>
      </c>
      <c r="N1692" s="13">
        <v>4</v>
      </c>
      <c r="O1692" s="15"/>
      <c r="P1692" s="6">
        <v>41305.895613425928</v>
      </c>
      <c r="Q1692" s="16" t="s">
        <v>4247</v>
      </c>
      <c r="R1692" s="17" t="s">
        <v>4248</v>
      </c>
      <c r="S1692" s="11" t="s">
        <v>4249</v>
      </c>
      <c r="T1692" s="12"/>
      <c r="U1692" s="10" t="str">
        <f>HYPERLINK("https://pbs.twimg.com/profile_images/872754502113341441/yGSF27ZY.jpg","View")</f>
        <v>View</v>
      </c>
    </row>
    <row r="1693" spans="1:21" ht="71.400000000000006">
      <c r="A1693" s="6">
        <v>43437.009930555556</v>
      </c>
      <c r="B1693" s="7" t="str">
        <f>HYPERLINK("https://twitter.com/luciomolina","@luciomolina")</f>
        <v>@luciomolina</v>
      </c>
      <c r="C1693" s="8" t="s">
        <v>5807</v>
      </c>
      <c r="D1693" s="9" t="s">
        <v>5808</v>
      </c>
      <c r="E1693" s="10" t="str">
        <f>HYPERLINK("https://twitter.com/luciomolina/status/1069369192875474944","1069369192875474944")</f>
        <v>1069369192875474944</v>
      </c>
      <c r="F1693" s="11" t="s">
        <v>5809</v>
      </c>
      <c r="G1693" s="11" t="s">
        <v>5810</v>
      </c>
      <c r="H1693" s="12"/>
      <c r="I1693" s="13">
        <v>0</v>
      </c>
      <c r="J1693" s="13">
        <v>0</v>
      </c>
      <c r="K1693" s="14" t="str">
        <f>HYPERLINK("http://twitter.com","Twitter Web Client")</f>
        <v>Twitter Web Client</v>
      </c>
      <c r="L1693" s="13">
        <v>4020</v>
      </c>
      <c r="M1693" s="13">
        <v>4630</v>
      </c>
      <c r="N1693" s="13">
        <v>40</v>
      </c>
      <c r="O1693" s="15"/>
      <c r="P1693" s="6">
        <v>39864.890057870369</v>
      </c>
      <c r="Q1693" s="16" t="s">
        <v>5811</v>
      </c>
      <c r="R1693" s="17" t="s">
        <v>5812</v>
      </c>
      <c r="S1693" s="12"/>
      <c r="T1693" s="12"/>
      <c r="U1693" s="10" t="str">
        <f>HYPERLINK("https://pbs.twimg.com/profile_images/818409600638734336/FzPf2Ld7.jpg","View")</f>
        <v>View</v>
      </c>
    </row>
    <row r="1694" spans="1:21" ht="20.399999999999999">
      <c r="A1694" s="6">
        <v>43437.009097222224</v>
      </c>
      <c r="B1694" s="7" t="str">
        <f>HYPERLINK("https://twitter.com/Paula_Churches_","@Paula_Churches_")</f>
        <v>@Paula_Churches_</v>
      </c>
      <c r="C1694" s="8" t="s">
        <v>5813</v>
      </c>
      <c r="D1694" s="9" t="s">
        <v>5814</v>
      </c>
      <c r="E1694" s="10" t="str">
        <f>HYPERLINK("https://twitter.com/Paula_Churches_/status/1069368892177506304","1069368892177506304")</f>
        <v>1069368892177506304</v>
      </c>
      <c r="F1694" s="11" t="s">
        <v>5815</v>
      </c>
      <c r="G1694" s="12"/>
      <c r="H1694" s="12"/>
      <c r="I1694" s="13">
        <v>0</v>
      </c>
      <c r="J1694" s="13">
        <v>0</v>
      </c>
      <c r="K1694" s="14" t="str">
        <f>HYPERLINK("https://ifttt.com","IFTTT")</f>
        <v>IFTTT</v>
      </c>
      <c r="L1694" s="13">
        <v>233</v>
      </c>
      <c r="M1694" s="13">
        <v>445</v>
      </c>
      <c r="N1694" s="13">
        <v>1</v>
      </c>
      <c r="O1694" s="15"/>
      <c r="P1694" s="6">
        <v>42975.483206018514</v>
      </c>
      <c r="Q1694" s="16" t="s">
        <v>5816</v>
      </c>
      <c r="R1694" s="17" t="s">
        <v>5817</v>
      </c>
      <c r="S1694" s="12"/>
      <c r="T1694" s="12"/>
      <c r="U1694" s="10" t="str">
        <f>HYPERLINK("https://pbs.twimg.com/profile_images/908707812867493889/YtXsLgH7.jpg","View")</f>
        <v>View</v>
      </c>
    </row>
    <row r="1695" spans="1:21" ht="30.6">
      <c r="A1695" s="6">
        <v>43437.00886574074</v>
      </c>
      <c r="B1695" s="7" t="str">
        <f>HYPERLINK("https://twitter.com/cayetanosanch","@cayetanosanch")</f>
        <v>@cayetanosanch</v>
      </c>
      <c r="C1695" s="8" t="s">
        <v>5804</v>
      </c>
      <c r="D1695" s="9" t="s">
        <v>5601</v>
      </c>
      <c r="E1695" s="10" t="str">
        <f>HYPERLINK("https://twitter.com/cayetanosanch/status/1069368808052334592","1069368808052334592")</f>
        <v>1069368808052334592</v>
      </c>
      <c r="F1695" s="11" t="s">
        <v>5602</v>
      </c>
      <c r="G1695" s="12"/>
      <c r="H1695" s="12"/>
      <c r="I1695" s="13">
        <v>0</v>
      </c>
      <c r="J1695" s="13">
        <v>0</v>
      </c>
      <c r="K1695" s="14" t="str">
        <f>HYPERLINK("https://www.google.com/","Google")</f>
        <v>Google</v>
      </c>
      <c r="L1695" s="13">
        <v>34</v>
      </c>
      <c r="M1695" s="13">
        <v>92</v>
      </c>
      <c r="N1695" s="13">
        <v>0</v>
      </c>
      <c r="O1695" s="15"/>
      <c r="P1695" s="6">
        <v>41838.378310185188</v>
      </c>
      <c r="Q1695" s="16" t="s">
        <v>735</v>
      </c>
      <c r="R1695" s="20"/>
      <c r="S1695" s="12"/>
      <c r="T1695" s="12"/>
      <c r="U1695" s="10" t="str">
        <f>HYPERLINK("https://pbs.twimg.com/profile_images/1032018359989223428/LtHyU_U7.jpg","View")</f>
        <v>View</v>
      </c>
    </row>
    <row r="1696" spans="1:21" ht="40.799999999999997">
      <c r="A1696" s="6">
        <v>43437.007303240738</v>
      </c>
      <c r="B1696" s="7" t="str">
        <f>HYPERLINK("https://twitter.com/El_Plural","@El_Plural")</f>
        <v>@El_Plural</v>
      </c>
      <c r="C1696" s="8" t="s">
        <v>507</v>
      </c>
      <c r="D1696" s="9" t="s">
        <v>5818</v>
      </c>
      <c r="E1696" s="10" t="str">
        <f>HYPERLINK("https://twitter.com/El_Plural/status/1069368240634241026","1069368240634241026")</f>
        <v>1069368240634241026</v>
      </c>
      <c r="F1696" s="11" t="s">
        <v>5819</v>
      </c>
      <c r="G1696" s="12"/>
      <c r="H1696" s="12"/>
      <c r="I1696" s="13">
        <v>0</v>
      </c>
      <c r="J1696" s="13">
        <v>1</v>
      </c>
      <c r="K1696" s="14" t="str">
        <f>HYPERLINK("http://twitter.com","Twitter Web Client")</f>
        <v>Twitter Web Client</v>
      </c>
      <c r="L1696" s="13">
        <v>72031</v>
      </c>
      <c r="M1696" s="13">
        <v>1650</v>
      </c>
      <c r="N1696" s="13">
        <v>2018</v>
      </c>
      <c r="O1696" s="15"/>
      <c r="P1696" s="6">
        <v>40351.51053240741</v>
      </c>
      <c r="Q1696" s="16" t="s">
        <v>48</v>
      </c>
      <c r="R1696" s="17" t="s">
        <v>510</v>
      </c>
      <c r="S1696" s="11" t="s">
        <v>511</v>
      </c>
      <c r="T1696" s="12"/>
      <c r="U1696" s="10" t="str">
        <f>HYPERLINK("https://pbs.twimg.com/profile_images/1017707018138857473/kUt8X2tn.jpg","View")</f>
        <v>View</v>
      </c>
    </row>
    <row r="1697" spans="1:21" ht="30.6">
      <c r="A1697" s="6">
        <v>43437.007199074069</v>
      </c>
      <c r="B1697" s="7" t="str">
        <f>HYPERLINK("https://twitter.com/ppmadrid","@ppmadrid")</f>
        <v>@ppmadrid</v>
      </c>
      <c r="C1697" s="8" t="s">
        <v>351</v>
      </c>
      <c r="D1697" s="9" t="s">
        <v>5820</v>
      </c>
      <c r="E1697" s="10" t="str">
        <f>HYPERLINK("https://twitter.com/ppmadrid/status/1069368206224179200","1069368206224179200")</f>
        <v>1069368206224179200</v>
      </c>
      <c r="F1697" s="11" t="s">
        <v>5821</v>
      </c>
      <c r="G1697" s="12"/>
      <c r="H1697" s="12"/>
      <c r="I1697" s="13">
        <v>45</v>
      </c>
      <c r="J1697" s="13">
        <v>82</v>
      </c>
      <c r="K1697" s="14" t="str">
        <f>HYPERLINK("http://twitter.com/download/iphone","Twitter for iPhone")</f>
        <v>Twitter for iPhone</v>
      </c>
      <c r="L1697" s="13">
        <v>101951</v>
      </c>
      <c r="M1697" s="13">
        <v>5995</v>
      </c>
      <c r="N1697" s="13">
        <v>982</v>
      </c>
      <c r="O1697" s="19" t="s">
        <v>44</v>
      </c>
      <c r="P1697" s="6">
        <v>39827.687893518516</v>
      </c>
      <c r="Q1697" s="16" t="s">
        <v>353</v>
      </c>
      <c r="R1697" s="17" t="s">
        <v>354</v>
      </c>
      <c r="S1697" s="11" t="s">
        <v>356</v>
      </c>
      <c r="T1697" s="12"/>
      <c r="U1697" s="10" t="str">
        <f>HYPERLINK("https://pbs.twimg.com/profile_images/1053557531111538693/SBAQ7f5C.jpg","View")</f>
        <v>View</v>
      </c>
    </row>
    <row r="1698" spans="1:21" ht="40.799999999999997">
      <c r="A1698" s="6">
        <v>43437.007037037038</v>
      </c>
      <c r="B1698" s="7" t="str">
        <f>HYPERLINK("https://twitter.com/lextresabogados","@lextresabogados")</f>
        <v>@lextresabogados</v>
      </c>
      <c r="C1698" s="8" t="s">
        <v>1379</v>
      </c>
      <c r="D1698" s="9" t="s">
        <v>5822</v>
      </c>
      <c r="E1698" s="10" t="str">
        <f>HYPERLINK("https://twitter.com/lextresabogados/status/1069368145838784512","1069368145838784512")</f>
        <v>1069368145838784512</v>
      </c>
      <c r="F1698" s="11" t="s">
        <v>5823</v>
      </c>
      <c r="G1698" s="12"/>
      <c r="H1698" s="12"/>
      <c r="I1698" s="13">
        <v>0</v>
      </c>
      <c r="J1698" s="13">
        <v>0</v>
      </c>
      <c r="K1698" s="14" t="str">
        <f>HYPERLINK("http://35.180.36.179","botize nueva")</f>
        <v>botize nueva</v>
      </c>
      <c r="L1698" s="13">
        <v>2912</v>
      </c>
      <c r="M1698" s="13">
        <v>3525</v>
      </c>
      <c r="N1698" s="13">
        <v>26</v>
      </c>
      <c r="O1698" s="15"/>
      <c r="P1698" s="6">
        <v>42880.770949074074</v>
      </c>
      <c r="Q1698" s="16" t="s">
        <v>1130</v>
      </c>
      <c r="R1698" s="17" t="s">
        <v>1383</v>
      </c>
      <c r="S1698" s="11" t="s">
        <v>1384</v>
      </c>
      <c r="T1698" s="12"/>
      <c r="U1698" s="10" t="str">
        <f>HYPERLINK("https://pbs.twimg.com/profile_images/1068056978679898113/YnjKwiVy.jpg","View")</f>
        <v>View</v>
      </c>
    </row>
    <row r="1699" spans="1:21" ht="40.799999999999997">
      <c r="A1699" s="6">
        <v>43437.005798611106</v>
      </c>
      <c r="B1699" s="7" t="str">
        <f>HYPERLINK("https://twitter.com/NightWalkercito","@NightWalkercito")</f>
        <v>@NightWalkercito</v>
      </c>
      <c r="C1699" s="8" t="s">
        <v>5824</v>
      </c>
      <c r="D1699" s="9" t="s">
        <v>5825</v>
      </c>
      <c r="E1699" s="10" t="str">
        <f>HYPERLINK("https://twitter.com/NightWalkercito/status/1069367694896578560","1069367694896578560")</f>
        <v>1069367694896578560</v>
      </c>
      <c r="F1699" s="12"/>
      <c r="G1699" s="12"/>
      <c r="H1699" s="12"/>
      <c r="I1699" s="13">
        <v>1</v>
      </c>
      <c r="J1699" s="13">
        <v>1</v>
      </c>
      <c r="K1699" s="14" t="str">
        <f>HYPERLINK("http://twitter.com","Twitter Web Client")</f>
        <v>Twitter Web Client</v>
      </c>
      <c r="L1699" s="13">
        <v>449</v>
      </c>
      <c r="M1699" s="13">
        <v>1113</v>
      </c>
      <c r="N1699" s="13">
        <v>6</v>
      </c>
      <c r="O1699" s="15"/>
      <c r="P1699" s="6">
        <v>40419.74695601852</v>
      </c>
      <c r="Q1699" s="16" t="s">
        <v>5826</v>
      </c>
      <c r="R1699" s="17" t="s">
        <v>5827</v>
      </c>
      <c r="S1699" s="12"/>
      <c r="T1699" s="12"/>
      <c r="U1699" s="10" t="str">
        <f>HYPERLINK("https://pbs.twimg.com/profile_images/730487771882729473/HiAhCg-Y.jpg","View")</f>
        <v>View</v>
      </c>
    </row>
    <row r="1700" spans="1:21" ht="40.799999999999997">
      <c r="A1700" s="6">
        <v>43437.005567129629</v>
      </c>
      <c r="B1700" s="7" t="str">
        <f>HYPERLINK("https://twitter.com/Aerolito2","@Aerolito2")</f>
        <v>@Aerolito2</v>
      </c>
      <c r="C1700" s="8" t="s">
        <v>5828</v>
      </c>
      <c r="D1700" s="9" t="s">
        <v>5829</v>
      </c>
      <c r="E1700" s="10" t="str">
        <f>HYPERLINK("https://twitter.com/Aerolito2/status/1069367611488698368","1069367611488698368")</f>
        <v>1069367611488698368</v>
      </c>
      <c r="F1700" s="12"/>
      <c r="G1700" s="12"/>
      <c r="H1700" s="12"/>
      <c r="I1700" s="13">
        <v>0</v>
      </c>
      <c r="J1700" s="13">
        <v>2</v>
      </c>
      <c r="K1700" s="14" t="str">
        <f>HYPERLINK("http://twitter.com/download/android","Twitter for Android")</f>
        <v>Twitter for Android</v>
      </c>
      <c r="L1700" s="13">
        <v>4</v>
      </c>
      <c r="M1700" s="13">
        <v>8</v>
      </c>
      <c r="N1700" s="13">
        <v>0</v>
      </c>
      <c r="O1700" s="15"/>
      <c r="P1700" s="6">
        <v>43416.519513888888</v>
      </c>
      <c r="Q1700" s="12"/>
      <c r="R1700" s="17" t="s">
        <v>5830</v>
      </c>
      <c r="S1700" s="12"/>
      <c r="T1700" s="12"/>
      <c r="U1700" s="10" t="str">
        <f>HYPERLINK("https://pbs.twimg.com/profile_images/1062021506388107264/bJtMNMu4.jpg","View")</f>
        <v>View</v>
      </c>
    </row>
    <row r="1701" spans="1:21" ht="20.399999999999999">
      <c r="A1701" s="6">
        <v>43437.004976851851</v>
      </c>
      <c r="B1701" s="7" t="str">
        <f>HYPERLINK("https://twitter.com/delrioruizc","@delrioruizc")</f>
        <v>@delrioruizc</v>
      </c>
      <c r="C1701" s="8" t="s">
        <v>5831</v>
      </c>
      <c r="D1701" s="9" t="s">
        <v>5832</v>
      </c>
      <c r="E1701" s="10" t="str">
        <f>HYPERLINK("https://twitter.com/delrioruizc/status/1069367400921993216","1069367400921993216")</f>
        <v>1069367400921993216</v>
      </c>
      <c r="F1701" s="11" t="s">
        <v>5833</v>
      </c>
      <c r="G1701" s="12"/>
      <c r="H1701" s="12"/>
      <c r="I1701" s="13">
        <v>0</v>
      </c>
      <c r="J1701" s="13">
        <v>0</v>
      </c>
      <c r="K1701" s="14" t="str">
        <f>HYPERLINK("https://www.socialoomph.com","SocialOomph")</f>
        <v>SocialOomph</v>
      </c>
      <c r="L1701" s="13">
        <v>15</v>
      </c>
      <c r="M1701" s="13">
        <v>116</v>
      </c>
      <c r="N1701" s="13">
        <v>3</v>
      </c>
      <c r="O1701" s="15"/>
      <c r="P1701" s="6">
        <v>42548.670011574075</v>
      </c>
      <c r="Q1701" s="16" t="s">
        <v>611</v>
      </c>
      <c r="R1701" s="17" t="s">
        <v>5834</v>
      </c>
      <c r="S1701" s="12"/>
      <c r="T1701" s="12"/>
      <c r="U1701" s="10" t="str">
        <f>HYPERLINK("https://pbs.twimg.com/profile_images/747430692305383424/pbVdp6C5.jpg","View")</f>
        <v>View</v>
      </c>
    </row>
    <row r="1702" spans="1:21" ht="30.6">
      <c r="A1702" s="6">
        <v>43437.004594907412</v>
      </c>
      <c r="B1702" s="7" t="str">
        <f>HYPERLINK("https://twitter.com/zuniga_prado","@zuniga_prado")</f>
        <v>@zuniga_prado</v>
      </c>
      <c r="C1702" s="8" t="s">
        <v>5835</v>
      </c>
      <c r="D1702" s="9" t="s">
        <v>5836</v>
      </c>
      <c r="E1702" s="10" t="str">
        <f>HYPERLINK("https://twitter.com/zuniga_prado/status/1069367259355906050","1069367259355906050")</f>
        <v>1069367259355906050</v>
      </c>
      <c r="F1702" s="11" t="s">
        <v>5837</v>
      </c>
      <c r="G1702" s="12"/>
      <c r="H1702" s="12"/>
      <c r="I1702" s="13">
        <v>1</v>
      </c>
      <c r="J1702" s="13">
        <v>2</v>
      </c>
      <c r="K1702" s="14" t="str">
        <f>HYPERLINK("http://twitter.com/download/android","Twitter for Android")</f>
        <v>Twitter for Android</v>
      </c>
      <c r="L1702" s="13">
        <v>162</v>
      </c>
      <c r="M1702" s="13">
        <v>212</v>
      </c>
      <c r="N1702" s="13">
        <v>0</v>
      </c>
      <c r="O1702" s="15"/>
      <c r="P1702" s="6">
        <v>42815.39644675926</v>
      </c>
      <c r="Q1702" s="16" t="s">
        <v>5838</v>
      </c>
      <c r="R1702" s="17" t="s">
        <v>5839</v>
      </c>
      <c r="S1702" s="12"/>
      <c r="T1702" s="12"/>
      <c r="U1702" s="10" t="str">
        <f>HYPERLINK("https://pbs.twimg.com/profile_images/897483809716940803/9AksDa31.jpg","View")</f>
        <v>View</v>
      </c>
    </row>
    <row r="1703" spans="1:21" ht="30.6">
      <c r="A1703" s="6">
        <v>43437.003611111111</v>
      </c>
      <c r="B1703" s="7" t="str">
        <f>HYPERLINK("https://twitter.com/LaVanguardia","@LaVanguardia")</f>
        <v>@LaVanguardia</v>
      </c>
      <c r="C1703" s="8" t="s">
        <v>1882</v>
      </c>
      <c r="D1703" s="9" t="s">
        <v>5822</v>
      </c>
      <c r="E1703" s="10" t="str">
        <f>HYPERLINK("https://twitter.com/LaVanguardia/status/1069366905436340224","1069366905436340224")</f>
        <v>1069366905436340224</v>
      </c>
      <c r="F1703" s="11" t="s">
        <v>5823</v>
      </c>
      <c r="G1703" s="12"/>
      <c r="H1703" s="12"/>
      <c r="I1703" s="13">
        <v>1</v>
      </c>
      <c r="J1703" s="13">
        <v>4</v>
      </c>
      <c r="K1703" s="14" t="str">
        <f>HYPERLINK("http://www.lavanguardia.es","App publicación twits DGRID")</f>
        <v>App publicación twits DGRID</v>
      </c>
      <c r="L1703" s="13">
        <v>999502</v>
      </c>
      <c r="M1703" s="13">
        <v>524</v>
      </c>
      <c r="N1703" s="13">
        <v>12585</v>
      </c>
      <c r="O1703" s="19" t="s">
        <v>44</v>
      </c>
      <c r="P1703" s="6">
        <v>40071.664548611108</v>
      </c>
      <c r="Q1703" s="16" t="s">
        <v>1455</v>
      </c>
      <c r="R1703" s="17" t="s">
        <v>1883</v>
      </c>
      <c r="S1703" s="11" t="s">
        <v>1884</v>
      </c>
      <c r="T1703" s="12"/>
      <c r="U1703" s="10" t="str">
        <f>HYPERLINK("https://pbs.twimg.com/profile_images/936873783721320448/6Q97S0pp.jpg","View")</f>
        <v>View</v>
      </c>
    </row>
    <row r="1704" spans="1:21" ht="61.2">
      <c r="A1704" s="6">
        <v>43437.001759259263</v>
      </c>
      <c r="B1704" s="7" t="str">
        <f>HYPERLINK("https://twitter.com/JaviManzanoG","@JaviManzanoG")</f>
        <v>@JaviManzanoG</v>
      </c>
      <c r="C1704" s="8" t="s">
        <v>5840</v>
      </c>
      <c r="D1704" s="9" t="s">
        <v>5841</v>
      </c>
      <c r="E1704" s="10" t="str">
        <f>HYPERLINK("https://twitter.com/JaviManzanoG/status/1069366233479426048","1069366233479426048")</f>
        <v>1069366233479426048</v>
      </c>
      <c r="F1704" s="11" t="s">
        <v>5842</v>
      </c>
      <c r="G1704" s="11" t="s">
        <v>5843</v>
      </c>
      <c r="H1704" s="12"/>
      <c r="I1704" s="13">
        <v>0</v>
      </c>
      <c r="J1704" s="13">
        <v>0</v>
      </c>
      <c r="K1704" s="14" t="str">
        <f>HYPERLINK("http://twitter.com","Twitter Web Client")</f>
        <v>Twitter Web Client</v>
      </c>
      <c r="L1704" s="13">
        <v>38</v>
      </c>
      <c r="M1704" s="13">
        <v>65</v>
      </c>
      <c r="N1704" s="13">
        <v>1</v>
      </c>
      <c r="O1704" s="15"/>
      <c r="P1704" s="6">
        <v>41086.879432870366</v>
      </c>
      <c r="Q1704" s="16" t="s">
        <v>191</v>
      </c>
      <c r="R1704" s="20"/>
      <c r="S1704" s="12"/>
      <c r="T1704" s="12"/>
      <c r="U1704" s="10" t="str">
        <f>HYPERLINK("https://pbs.twimg.com/profile_images/1060234520186765313/1lq2aiiM.jpg","View")</f>
        <v>View</v>
      </c>
    </row>
    <row r="1705" spans="1:21" ht="20.399999999999999">
      <c r="A1705" s="6">
        <v>43437.001238425924</v>
      </c>
      <c r="B1705" s="7" t="str">
        <f>HYPERLINK("https://twitter.com/Globotorta","@Globotorta")</f>
        <v>@Globotorta</v>
      </c>
      <c r="C1705" s="8" t="s">
        <v>5844</v>
      </c>
      <c r="D1705" s="9" t="s">
        <v>5845</v>
      </c>
      <c r="E1705" s="10" t="str">
        <f>HYPERLINK("https://twitter.com/Globotorta/status/1069366044920332288","1069366044920332288")</f>
        <v>1069366044920332288</v>
      </c>
      <c r="F1705" s="12"/>
      <c r="G1705" s="12"/>
      <c r="H1705" s="12"/>
      <c r="I1705" s="13">
        <v>0</v>
      </c>
      <c r="J1705" s="13">
        <v>0</v>
      </c>
      <c r="K1705" s="14" t="str">
        <f t="shared" ref="K1705:K1707" si="291">HYPERLINK("http://twitter.com/download/android","Twitter for Android")</f>
        <v>Twitter for Android</v>
      </c>
      <c r="L1705" s="13">
        <v>35</v>
      </c>
      <c r="M1705" s="13">
        <v>16</v>
      </c>
      <c r="N1705" s="13">
        <v>0</v>
      </c>
      <c r="O1705" s="15"/>
      <c r="P1705" s="6">
        <v>42815.012280092589</v>
      </c>
      <c r="Q1705" s="12"/>
      <c r="R1705" s="20"/>
      <c r="S1705" s="12"/>
      <c r="T1705" s="12"/>
      <c r="U1705" s="10" t="str">
        <f>HYPERLINK("https://pbs.twimg.com/profile_images/1069664555972943873/TnPNL4qZ.jpg","View")</f>
        <v>View</v>
      </c>
    </row>
    <row r="1706" spans="1:21" ht="40.799999999999997">
      <c r="A1706" s="6">
        <v>43437.000879629632</v>
      </c>
      <c r="B1706" s="7" t="str">
        <f>HYPERLINK("https://twitter.com/MartaG_novo","@MartaG_novo")</f>
        <v>@MartaG_novo</v>
      </c>
      <c r="C1706" s="8" t="s">
        <v>5846</v>
      </c>
      <c r="D1706" s="9" t="s">
        <v>5847</v>
      </c>
      <c r="E1706" s="10" t="str">
        <f>HYPERLINK("https://twitter.com/MartaG_novo/status/1069365915538677761","1069365915538677761")</f>
        <v>1069365915538677761</v>
      </c>
      <c r="F1706" s="12"/>
      <c r="G1706" s="12"/>
      <c r="H1706" s="12"/>
      <c r="I1706" s="13">
        <v>5</v>
      </c>
      <c r="J1706" s="13">
        <v>23</v>
      </c>
      <c r="K1706" s="14" t="str">
        <f t="shared" si="291"/>
        <v>Twitter for Android</v>
      </c>
      <c r="L1706" s="13">
        <v>8594</v>
      </c>
      <c r="M1706" s="13">
        <v>897</v>
      </c>
      <c r="N1706" s="13">
        <v>297</v>
      </c>
      <c r="O1706" s="15"/>
      <c r="P1706" s="6">
        <v>40727.168888888889</v>
      </c>
      <c r="Q1706" s="16" t="s">
        <v>191</v>
      </c>
      <c r="R1706" s="17" t="s">
        <v>5848</v>
      </c>
      <c r="S1706" s="12"/>
      <c r="T1706" s="12"/>
      <c r="U1706" s="10" t="str">
        <f>HYPERLINK("https://pbs.twimg.com/profile_images/992710276452634625/hcpa51Da.jpg","View")</f>
        <v>View</v>
      </c>
    </row>
    <row r="1707" spans="1:21" ht="40.799999999999997">
      <c r="A1707" s="6">
        <v>43437.000856481478</v>
      </c>
      <c r="B1707" s="7" t="str">
        <f>HYPERLINK("https://twitter.com/Germanpollez","@Germanpollez")</f>
        <v>@Germanpollez</v>
      </c>
      <c r="C1707" s="8" t="s">
        <v>5849</v>
      </c>
      <c r="D1707" s="9" t="s">
        <v>5850</v>
      </c>
      <c r="E1707" s="10" t="str">
        <f>HYPERLINK("https://twitter.com/Germanpollez/status/1069365904386007041","1069365904386007041")</f>
        <v>1069365904386007041</v>
      </c>
      <c r="F1707" s="12"/>
      <c r="G1707" s="12"/>
      <c r="H1707" s="12"/>
      <c r="I1707" s="13">
        <v>1</v>
      </c>
      <c r="J1707" s="13">
        <v>1</v>
      </c>
      <c r="K1707" s="14" t="str">
        <f t="shared" si="291"/>
        <v>Twitter for Android</v>
      </c>
      <c r="L1707" s="13">
        <v>363</v>
      </c>
      <c r="M1707" s="13">
        <v>410</v>
      </c>
      <c r="N1707" s="13">
        <v>3</v>
      </c>
      <c r="O1707" s="15"/>
      <c r="P1707" s="6">
        <v>40590.719942129632</v>
      </c>
      <c r="Q1707" s="16" t="s">
        <v>232</v>
      </c>
      <c r="R1707" s="20"/>
      <c r="S1707" s="12"/>
      <c r="T1707" s="12"/>
      <c r="U1707" s="10" t="str">
        <f>HYPERLINK("https://pbs.twimg.com/profile_images/901491147020918784/TPFgEZXI.jpg","View")</f>
        <v>View</v>
      </c>
    </row>
    <row r="1708" spans="1:21" ht="30.6">
      <c r="A1708" s="6">
        <v>43437.000289351854</v>
      </c>
      <c r="B1708" s="7" t="str">
        <f>HYPERLINK("https://twitter.com/InfoHeaders_Tes","@InfoHeaders_Tes")</f>
        <v>@InfoHeaders_Tes</v>
      </c>
      <c r="C1708" s="8" t="s">
        <v>5851</v>
      </c>
      <c r="D1708" s="9" t="s">
        <v>5852</v>
      </c>
      <c r="E1708" s="10" t="str">
        <f>HYPERLINK("https://twitter.com/InfoHeaders_Tes/status/1069365702036004865","1069365702036004865")</f>
        <v>1069365702036004865</v>
      </c>
      <c r="F1708" s="11" t="s">
        <v>5821</v>
      </c>
      <c r="G1708" s="12"/>
      <c r="H1708" s="12"/>
      <c r="I1708" s="13">
        <v>0</v>
      </c>
      <c r="J1708" s="13">
        <v>0</v>
      </c>
      <c r="K1708" s="14" t="str">
        <f>HYPERLINK("http://www.infoheaders.com","Send _Tw_INFH_Test")</f>
        <v>Send _Tw_INFH_Test</v>
      </c>
      <c r="L1708" s="13">
        <v>201</v>
      </c>
      <c r="M1708" s="13">
        <v>1</v>
      </c>
      <c r="N1708" s="13">
        <v>100</v>
      </c>
      <c r="O1708" s="15"/>
      <c r="P1708" s="6">
        <v>41315.710497685184</v>
      </c>
      <c r="Q1708" s="16" t="s">
        <v>48</v>
      </c>
      <c r="R1708" s="17" t="s">
        <v>5853</v>
      </c>
      <c r="S1708" s="11" t="s">
        <v>5854</v>
      </c>
      <c r="T1708" s="12"/>
      <c r="U1708" s="10" t="str">
        <f>HYPERLINK("https://pbs.twimg.com/profile_images/3234700567/566c3c8e394f76d77a41eafe1bfc7aa3.jpeg","View")</f>
        <v>View</v>
      </c>
    </row>
    <row r="1709" spans="1:21" ht="20.399999999999999">
      <c r="A1709" s="6">
        <v>43437.00001157407</v>
      </c>
      <c r="B1709" s="7" t="str">
        <f>HYPERLINK("https://twitter.com/GaliciaMundiari","@GaliciaMundiari")</f>
        <v>@GaliciaMundiari</v>
      </c>
      <c r="C1709" s="8" t="s">
        <v>565</v>
      </c>
      <c r="D1709" s="9" t="s">
        <v>5855</v>
      </c>
      <c r="E1709" s="10" t="str">
        <f>HYPERLINK("https://twitter.com/GaliciaMundiari/status/1069365597958369280","1069365597958369280")</f>
        <v>1069365597958369280</v>
      </c>
      <c r="F1709" s="11" t="s">
        <v>5856</v>
      </c>
      <c r="G1709" s="12"/>
      <c r="H1709" s="12"/>
      <c r="I1709" s="13">
        <v>0</v>
      </c>
      <c r="J1709" s="13">
        <v>0</v>
      </c>
      <c r="K1709" s="14" t="str">
        <f>HYPERLINK("https://about.twitter.com/products/tweetdeck","TweetDeck")</f>
        <v>TweetDeck</v>
      </c>
      <c r="L1709" s="13">
        <v>731</v>
      </c>
      <c r="M1709" s="13">
        <v>1487</v>
      </c>
      <c r="N1709" s="13">
        <v>31</v>
      </c>
      <c r="O1709" s="15"/>
      <c r="P1709" s="6">
        <v>41311.572812500002</v>
      </c>
      <c r="Q1709" s="16" t="s">
        <v>568</v>
      </c>
      <c r="R1709" s="17" t="s">
        <v>569</v>
      </c>
      <c r="S1709" s="11" t="s">
        <v>570</v>
      </c>
      <c r="T1709" s="12"/>
      <c r="U1709" s="10" t="str">
        <f>HYPERLINK("https://pbs.twimg.com/profile_images/983440522390929408/Q4V9I05R.jpg","View")</f>
        <v>View</v>
      </c>
    </row>
    <row r="1710" spans="1:21" ht="40.799999999999997">
      <c r="A1710" s="6">
        <v>43436.999212962968</v>
      </c>
      <c r="B1710" s="7" t="str">
        <f>HYPERLINK("https://twitter.com/enriquedediegov","@enriquedediegov")</f>
        <v>@enriquedediegov</v>
      </c>
      <c r="C1710" s="8" t="s">
        <v>5857</v>
      </c>
      <c r="D1710" s="9" t="s">
        <v>5858</v>
      </c>
      <c r="E1710" s="10" t="str">
        <f>HYPERLINK("https://twitter.com/enriquedediegov/status/1069365309168132096","1069365309168132096")</f>
        <v>1069365309168132096</v>
      </c>
      <c r="F1710" s="11" t="s">
        <v>5859</v>
      </c>
      <c r="G1710" s="12"/>
      <c r="H1710" s="12"/>
      <c r="I1710" s="13">
        <v>1</v>
      </c>
      <c r="J1710" s="13">
        <v>1</v>
      </c>
      <c r="K1710" s="14" t="str">
        <f>HYPERLINK("http://twitter.com","Twitter Web Client")</f>
        <v>Twitter Web Client</v>
      </c>
      <c r="L1710" s="13">
        <v>7792</v>
      </c>
      <c r="M1710" s="13">
        <v>6053</v>
      </c>
      <c r="N1710" s="13">
        <v>179</v>
      </c>
      <c r="O1710" s="15"/>
      <c r="P1710" s="6">
        <v>41293.717129629629</v>
      </c>
      <c r="Q1710" s="16" t="s">
        <v>48</v>
      </c>
      <c r="R1710" s="17" t="s">
        <v>5860</v>
      </c>
      <c r="S1710" s="11" t="s">
        <v>5861</v>
      </c>
      <c r="T1710" s="12"/>
      <c r="U1710" s="10" t="str">
        <f>HYPERLINK("https://pbs.twimg.com/profile_images/3129623790/4ae197d01442e05dee4622297c3b9642.jpeg","View")</f>
        <v>View</v>
      </c>
    </row>
    <row r="1711" spans="1:21" ht="30.6">
      <c r="A1711" s="6">
        <v>43436.999143518522</v>
      </c>
      <c r="B1711" s="7" t="str">
        <f>HYPERLINK("https://twitter.com/idpajares1974","@idpajares1974")</f>
        <v>@idpajares1974</v>
      </c>
      <c r="C1711" s="8" t="s">
        <v>5862</v>
      </c>
      <c r="D1711" s="9" t="s">
        <v>5863</v>
      </c>
      <c r="E1711" s="10" t="str">
        <f>HYPERLINK("https://twitter.com/idpajares1974/status/1069365284144902144","1069365284144902144")</f>
        <v>1069365284144902144</v>
      </c>
      <c r="F1711" s="11" t="s">
        <v>5864</v>
      </c>
      <c r="G1711" s="12"/>
      <c r="H1711" s="12"/>
      <c r="I1711" s="13">
        <v>0</v>
      </c>
      <c r="J1711" s="13">
        <v>0</v>
      </c>
      <c r="K1711" s="14" t="str">
        <f t="shared" ref="K1711:K1712" si="292">HYPERLINK("http://twitter.com/download/android","Twitter for Android")</f>
        <v>Twitter for Android</v>
      </c>
      <c r="L1711" s="13">
        <v>178</v>
      </c>
      <c r="M1711" s="13">
        <v>406</v>
      </c>
      <c r="N1711" s="13">
        <v>8</v>
      </c>
      <c r="O1711" s="15"/>
      <c r="P1711" s="6">
        <v>40623.486261574071</v>
      </c>
      <c r="Q1711" s="16" t="s">
        <v>48</v>
      </c>
      <c r="R1711" s="17" t="s">
        <v>5865</v>
      </c>
      <c r="S1711" s="12"/>
      <c r="T1711" s="12"/>
      <c r="U1711" s="10" t="str">
        <f>HYPERLINK("https://pbs.twimg.com/profile_images/1069169554788622336/2K2S2m-H.jpg","View")</f>
        <v>View</v>
      </c>
    </row>
    <row r="1712" spans="1:21" ht="40.799999999999997">
      <c r="A1712" s="6">
        <v>43436.999016203699</v>
      </c>
      <c r="B1712" s="7" t="str">
        <f>HYPERLINK("https://twitter.com/Adannae","@Adannae")</f>
        <v>@Adannae</v>
      </c>
      <c r="C1712" s="8" t="s">
        <v>5753</v>
      </c>
      <c r="D1712" s="9" t="s">
        <v>5866</v>
      </c>
      <c r="E1712" s="10" t="str">
        <f>HYPERLINK("https://twitter.com/Adannae/status/1069365238548623361","1069365238548623361")</f>
        <v>1069365238548623361</v>
      </c>
      <c r="F1712" s="12"/>
      <c r="G1712" s="12"/>
      <c r="H1712" s="12"/>
      <c r="I1712" s="13">
        <v>0</v>
      </c>
      <c r="J1712" s="13">
        <v>2</v>
      </c>
      <c r="K1712" s="14" t="str">
        <f t="shared" si="292"/>
        <v>Twitter for Android</v>
      </c>
      <c r="L1712" s="13">
        <v>3009</v>
      </c>
      <c r="M1712" s="13">
        <v>2567</v>
      </c>
      <c r="N1712" s="13">
        <v>30</v>
      </c>
      <c r="O1712" s="15"/>
      <c r="P1712" s="6">
        <v>40160.556307870371</v>
      </c>
      <c r="Q1712" s="16" t="s">
        <v>48</v>
      </c>
      <c r="R1712" s="17" t="s">
        <v>5756</v>
      </c>
      <c r="S1712" s="11" t="s">
        <v>5757</v>
      </c>
      <c r="T1712" s="12"/>
      <c r="U1712" s="10" t="str">
        <f>HYPERLINK("https://pbs.twimg.com/profile_images/1060232822420656129/69l9JhJ7.jpg","View")</f>
        <v>View</v>
      </c>
    </row>
    <row r="1713" spans="1:21" ht="20.399999999999999">
      <c r="A1713" s="6">
        <v>43436.998668981483</v>
      </c>
      <c r="B1713" s="7" t="str">
        <f>HYPERLINK("https://twitter.com/CristoFeliz1","@CristoFeliz1")</f>
        <v>@CristoFeliz1</v>
      </c>
      <c r="C1713" s="8" t="s">
        <v>172</v>
      </c>
      <c r="D1713" s="9" t="s">
        <v>5598</v>
      </c>
      <c r="E1713" s="10" t="str">
        <f>HYPERLINK("https://twitter.com/CristoFeliz1/status/1069365113528799233","1069365113528799233")</f>
        <v>1069365113528799233</v>
      </c>
      <c r="F1713" s="11" t="s">
        <v>5867</v>
      </c>
      <c r="G1713" s="11" t="s">
        <v>5868</v>
      </c>
      <c r="H1713" s="12"/>
      <c r="I1713" s="13">
        <v>0</v>
      </c>
      <c r="J1713" s="13">
        <v>0</v>
      </c>
      <c r="K1713" s="14" t="str">
        <f>HYPERLINK("https://dlvrit.com/","dlvr.it")</f>
        <v>dlvr.it</v>
      </c>
      <c r="L1713" s="13">
        <v>7015</v>
      </c>
      <c r="M1713" s="13">
        <v>7733</v>
      </c>
      <c r="N1713" s="13">
        <v>561</v>
      </c>
      <c r="O1713" s="15"/>
      <c r="P1713" s="6">
        <v>41186.866469907407</v>
      </c>
      <c r="Q1713" s="16" t="s">
        <v>175</v>
      </c>
      <c r="R1713" s="17" t="s">
        <v>176</v>
      </c>
      <c r="S1713" s="12"/>
      <c r="T1713" s="12"/>
      <c r="U1713" s="10" t="str">
        <f>HYPERLINK("https://pbs.twimg.com/profile_images/1002564938911703040/1Wvxy6Jm.jpg","View")</f>
        <v>View</v>
      </c>
    </row>
    <row r="1714" spans="1:21" ht="40.799999999999997">
      <c r="A1714" s="6">
        <v>43436.998587962968</v>
      </c>
      <c r="B1714" s="7" t="str">
        <f>HYPERLINK("https://twitter.com/Andoni_Leon","@Andoni_Leon")</f>
        <v>@Andoni_Leon</v>
      </c>
      <c r="C1714" s="8" t="s">
        <v>5869</v>
      </c>
      <c r="D1714" s="9" t="s">
        <v>5870</v>
      </c>
      <c r="E1714" s="10" t="str">
        <f>HYPERLINK("https://twitter.com/Andoni_Leon/status/1069365083162243072","1069365083162243072")</f>
        <v>1069365083162243072</v>
      </c>
      <c r="F1714" s="12"/>
      <c r="G1714" s="12"/>
      <c r="H1714" s="12"/>
      <c r="I1714" s="13">
        <v>0</v>
      </c>
      <c r="J1714" s="13">
        <v>0</v>
      </c>
      <c r="K1714" s="14" t="str">
        <f>HYPERLINK("http://twitter.com/download/android","Twitter for Android")</f>
        <v>Twitter for Android</v>
      </c>
      <c r="L1714" s="13">
        <v>832</v>
      </c>
      <c r="M1714" s="13">
        <v>1071</v>
      </c>
      <c r="N1714" s="13">
        <v>20</v>
      </c>
      <c r="O1714" s="15"/>
      <c r="P1714" s="6">
        <v>40827.977997685186</v>
      </c>
      <c r="Q1714" s="16" t="s">
        <v>5871</v>
      </c>
      <c r="R1714" s="17" t="s">
        <v>5872</v>
      </c>
      <c r="S1714" s="12"/>
      <c r="T1714" s="12"/>
      <c r="U1714" s="10" t="str">
        <f>HYPERLINK("https://pbs.twimg.com/profile_images/998123061760090112/TF-KO1De.jpg","View")</f>
        <v>View</v>
      </c>
    </row>
    <row r="1715" spans="1:21" ht="51">
      <c r="A1715" s="6">
        <v>43436.998414351852</v>
      </c>
      <c r="B1715" s="7" t="str">
        <f>HYPERLINK("https://twitter.com/teresaleon_","@teresaleon_")</f>
        <v>@teresaleon_</v>
      </c>
      <c r="C1715" s="8" t="s">
        <v>5873</v>
      </c>
      <c r="D1715" s="9" t="s">
        <v>5874</v>
      </c>
      <c r="E1715" s="10" t="str">
        <f>HYPERLINK("https://twitter.com/teresaleon_/status/1069365019157118976","1069365019157118976")</f>
        <v>1069365019157118976</v>
      </c>
      <c r="F1715" s="12"/>
      <c r="G1715" s="12"/>
      <c r="H1715" s="12"/>
      <c r="I1715" s="13">
        <v>0</v>
      </c>
      <c r="J1715" s="13">
        <v>0</v>
      </c>
      <c r="K1715" s="14" t="str">
        <f>HYPERLINK("http://twitter.com","Twitter Web Client")</f>
        <v>Twitter Web Client</v>
      </c>
      <c r="L1715" s="13">
        <v>556</v>
      </c>
      <c r="M1715" s="13">
        <v>1014</v>
      </c>
      <c r="N1715" s="13">
        <v>9</v>
      </c>
      <c r="O1715" s="15"/>
      <c r="P1715" s="6">
        <v>40512.086157407408</v>
      </c>
      <c r="Q1715" s="16" t="s">
        <v>5875</v>
      </c>
      <c r="R1715" s="17" t="s">
        <v>5876</v>
      </c>
      <c r="S1715" s="11" t="s">
        <v>5877</v>
      </c>
      <c r="T1715" s="12"/>
      <c r="U1715" s="10" t="str">
        <f>HYPERLINK("https://pbs.twimg.com/profile_images/827989291301167104/jnOZFMJz.jpg","View")</f>
        <v>View</v>
      </c>
    </row>
    <row r="1716" spans="1:21" ht="30.6">
      <c r="A1716" s="6">
        <v>43436.997974537036</v>
      </c>
      <c r="B1716" s="7" t="str">
        <f>HYPERLINK("https://twitter.com/pallaron12","@pallaron12")</f>
        <v>@pallaron12</v>
      </c>
      <c r="C1716" s="8" t="s">
        <v>5878</v>
      </c>
      <c r="D1716" s="9" t="s">
        <v>5863</v>
      </c>
      <c r="E1716" s="10" t="str">
        <f>HYPERLINK("https://twitter.com/pallaron12/status/1069364860046245888","1069364860046245888")</f>
        <v>1069364860046245888</v>
      </c>
      <c r="F1716" s="11" t="s">
        <v>5879</v>
      </c>
      <c r="G1716" s="12"/>
      <c r="H1716" s="12"/>
      <c r="I1716" s="13">
        <v>0</v>
      </c>
      <c r="J1716" s="13">
        <v>0</v>
      </c>
      <c r="K1716" s="14" t="str">
        <f>HYPERLINK("http://twitter.com/download/android","Twitter for Android")</f>
        <v>Twitter for Android</v>
      </c>
      <c r="L1716" s="13">
        <v>1481</v>
      </c>
      <c r="M1716" s="13">
        <v>551</v>
      </c>
      <c r="N1716" s="13">
        <v>8</v>
      </c>
      <c r="O1716" s="15"/>
      <c r="P1716" s="6">
        <v>41854.66134259259</v>
      </c>
      <c r="Q1716" s="16" t="s">
        <v>5880</v>
      </c>
      <c r="R1716" s="17" t="s">
        <v>5881</v>
      </c>
      <c r="S1716" s="12"/>
      <c r="T1716" s="12"/>
      <c r="U1716" s="10" t="str">
        <f>HYPERLINK("https://pbs.twimg.com/profile_images/1064713832633896961/NkwZ7D9D.jpg","View")</f>
        <v>View</v>
      </c>
    </row>
    <row r="1717" spans="1:21" ht="51">
      <c r="A1717" s="6">
        <v>43436.997916666667</v>
      </c>
      <c r="B1717" s="7" t="str">
        <f>HYPERLINK("https://twitter.com/pablo_carba","@pablo_carba")</f>
        <v>@pablo_carba</v>
      </c>
      <c r="C1717" s="8" t="s">
        <v>5689</v>
      </c>
      <c r="D1717" s="9" t="s">
        <v>5882</v>
      </c>
      <c r="E1717" s="10" t="str">
        <f>HYPERLINK("https://twitter.com/pablo_carba/status/1069364838848180224","1069364838848180224")</f>
        <v>1069364838848180224</v>
      </c>
      <c r="F1717" s="12"/>
      <c r="G1717" s="12"/>
      <c r="H1717" s="12"/>
      <c r="I1717" s="13">
        <v>5</v>
      </c>
      <c r="J1717" s="13">
        <v>12</v>
      </c>
      <c r="K1717" s="14" t="str">
        <f>HYPERLINK("http://twitter.com/download/iphone","Twitter for iPhone")</f>
        <v>Twitter for iPhone</v>
      </c>
      <c r="L1717" s="13">
        <v>2619</v>
      </c>
      <c r="M1717" s="13">
        <v>782</v>
      </c>
      <c r="N1717" s="13">
        <v>82</v>
      </c>
      <c r="O1717" s="15"/>
      <c r="P1717" s="6">
        <v>40648.714050925926</v>
      </c>
      <c r="Q1717" s="16" t="s">
        <v>5691</v>
      </c>
      <c r="R1717" s="17" t="s">
        <v>5692</v>
      </c>
      <c r="S1717" s="12"/>
      <c r="T1717" s="12"/>
      <c r="U1717" s="10" t="str">
        <f>HYPERLINK("https://pbs.twimg.com/profile_images/880552569130688512/4J5qhrSG.jpg","View")</f>
        <v>View</v>
      </c>
    </row>
    <row r="1718" spans="1:21" ht="30.6">
      <c r="A1718" s="6">
        <v>43436.997893518521</v>
      </c>
      <c r="B1718" s="7" t="str">
        <f>HYPERLINK("https://twitter.com/betancora","@betancora")</f>
        <v>@betancora</v>
      </c>
      <c r="C1718" s="8" t="s">
        <v>5883</v>
      </c>
      <c r="D1718" s="9" t="s">
        <v>5884</v>
      </c>
      <c r="E1718" s="10" t="str">
        <f>HYPERLINK("https://twitter.com/betancora/status/1069364834230243333","1069364834230243333")</f>
        <v>1069364834230243333</v>
      </c>
      <c r="F1718" s="11" t="s">
        <v>5864</v>
      </c>
      <c r="G1718" s="12"/>
      <c r="H1718" s="12"/>
      <c r="I1718" s="13">
        <v>0</v>
      </c>
      <c r="J1718" s="13">
        <v>0</v>
      </c>
      <c r="K1718" s="14" t="str">
        <f t="shared" ref="K1718:K1719" si="293">HYPERLINK("http://twitter.com/download/android","Twitter for Android")</f>
        <v>Twitter for Android</v>
      </c>
      <c r="L1718" s="13">
        <v>466</v>
      </c>
      <c r="M1718" s="13">
        <v>779</v>
      </c>
      <c r="N1718" s="13">
        <v>9</v>
      </c>
      <c r="O1718" s="15"/>
      <c r="P1718" s="6">
        <v>41265.870115740741</v>
      </c>
      <c r="Q1718" s="12"/>
      <c r="R1718" s="17" t="s">
        <v>5885</v>
      </c>
      <c r="S1718" s="12"/>
      <c r="T1718" s="12"/>
      <c r="U1718" s="10" t="str">
        <f>HYPERLINK("https://pbs.twimg.com/profile_images/963109639490555905/Z6wiz9Wx.jpg","View")</f>
        <v>View</v>
      </c>
    </row>
    <row r="1719" spans="1:21" ht="30.6">
      <c r="A1719" s="6">
        <v>43436.997164351851</v>
      </c>
      <c r="B1719" s="7" t="str">
        <f>HYPERLINK("https://twitter.com/Geemartinezzz","@Geemartinezzz")</f>
        <v>@Geemartinezzz</v>
      </c>
      <c r="C1719" s="8" t="s">
        <v>5886</v>
      </c>
      <c r="D1719" s="9" t="s">
        <v>5887</v>
      </c>
      <c r="E1719" s="10" t="str">
        <f>HYPERLINK("https://twitter.com/Geemartinezzz/status/1069364569800409088","1069364569800409088")</f>
        <v>1069364569800409088</v>
      </c>
      <c r="F1719" s="12"/>
      <c r="G1719" s="12"/>
      <c r="H1719" s="12"/>
      <c r="I1719" s="13">
        <v>0</v>
      </c>
      <c r="J1719" s="13">
        <v>0</v>
      </c>
      <c r="K1719" s="14" t="str">
        <f t="shared" si="293"/>
        <v>Twitter for Android</v>
      </c>
      <c r="L1719" s="13">
        <v>565</v>
      </c>
      <c r="M1719" s="13">
        <v>848</v>
      </c>
      <c r="N1719" s="13">
        <v>17</v>
      </c>
      <c r="O1719" s="15"/>
      <c r="P1719" s="6">
        <v>39964.874143518522</v>
      </c>
      <c r="Q1719" s="16" t="s">
        <v>5888</v>
      </c>
      <c r="R1719" s="17" t="s">
        <v>5889</v>
      </c>
      <c r="S1719" s="12"/>
      <c r="T1719" s="12"/>
      <c r="U1719" s="10" t="str">
        <f>HYPERLINK("https://pbs.twimg.com/profile_images/926402000920764416/Aw-A91JT.jpg","View")</f>
        <v>View</v>
      </c>
    </row>
    <row r="1720" spans="1:21" ht="51">
      <c r="A1720" s="6">
        <v>43436.996666666666</v>
      </c>
      <c r="B1720" s="7" t="str">
        <f>HYPERLINK("https://twitter.com/JaviManzanoG","@JaviManzanoG")</f>
        <v>@JaviManzanoG</v>
      </c>
      <c r="C1720" s="8" t="s">
        <v>5840</v>
      </c>
      <c r="D1720" s="9" t="s">
        <v>5890</v>
      </c>
      <c r="E1720" s="10" t="str">
        <f>HYPERLINK("https://twitter.com/JaviManzanoG/status/1069364386580566024","1069364386580566024")</f>
        <v>1069364386580566024</v>
      </c>
      <c r="F1720" s="12"/>
      <c r="G1720" s="12"/>
      <c r="H1720" s="12"/>
      <c r="I1720" s="13">
        <v>0</v>
      </c>
      <c r="J1720" s="13">
        <v>0</v>
      </c>
      <c r="K1720" s="14" t="str">
        <f>HYPERLINK("http://twitter.com","Twitter Web Client")</f>
        <v>Twitter Web Client</v>
      </c>
      <c r="L1720" s="13">
        <v>38</v>
      </c>
      <c r="M1720" s="13">
        <v>65</v>
      </c>
      <c r="N1720" s="13">
        <v>1</v>
      </c>
      <c r="O1720" s="15"/>
      <c r="P1720" s="6">
        <v>41086.879432870366</v>
      </c>
      <c r="Q1720" s="16" t="s">
        <v>191</v>
      </c>
      <c r="R1720" s="20"/>
      <c r="S1720" s="12"/>
      <c r="T1720" s="12"/>
      <c r="U1720" s="10" t="str">
        <f>HYPERLINK("https://pbs.twimg.com/profile_images/1060234520186765313/1lq2aiiM.jpg","View")</f>
        <v>View</v>
      </c>
    </row>
    <row r="1721" spans="1:21" ht="40.799999999999997">
      <c r="A1721" s="6">
        <v>43436.996655092589</v>
      </c>
      <c r="B1721" s="7" t="str">
        <f>HYPERLINK("https://twitter.com/iorbue","@iorbue")</f>
        <v>@iorbue</v>
      </c>
      <c r="C1721" s="8" t="s">
        <v>5891</v>
      </c>
      <c r="D1721" s="9" t="s">
        <v>5892</v>
      </c>
      <c r="E1721" s="10" t="str">
        <f>HYPERLINK("https://twitter.com/iorbue/status/1069364382868676608","1069364382868676608")</f>
        <v>1069364382868676608</v>
      </c>
      <c r="F1721" s="12"/>
      <c r="G1721" s="12"/>
      <c r="H1721" s="12"/>
      <c r="I1721" s="13">
        <v>0</v>
      </c>
      <c r="J1721" s="13">
        <v>1</v>
      </c>
      <c r="K1721" s="14" t="str">
        <f t="shared" ref="K1721:K1722" si="294">HYPERLINK("http://twitter.com/download/android","Twitter for Android")</f>
        <v>Twitter for Android</v>
      </c>
      <c r="L1721" s="13">
        <v>57</v>
      </c>
      <c r="M1721" s="13">
        <v>191</v>
      </c>
      <c r="N1721" s="13">
        <v>0</v>
      </c>
      <c r="O1721" s="15"/>
      <c r="P1721" s="6">
        <v>43024.451377314814</v>
      </c>
      <c r="Q1721" s="16" t="s">
        <v>5893</v>
      </c>
      <c r="R1721" s="17" t="s">
        <v>5894</v>
      </c>
      <c r="S1721" s="12"/>
      <c r="T1721" s="12"/>
      <c r="U1721" s="10" t="str">
        <f>HYPERLINK("https://pbs.twimg.com/profile_images/1016281839017840640/HC0RMRSB.jpg","View")</f>
        <v>View</v>
      </c>
    </row>
    <row r="1722" spans="1:21" ht="30.6">
      <c r="A1722" s="6">
        <v>43436.996238425927</v>
      </c>
      <c r="B1722" s="7" t="str">
        <f>HYPERLINK("https://twitter.com/mey3427","@mey3427")</f>
        <v>@mey3427</v>
      </c>
      <c r="C1722" s="8" t="s">
        <v>5895</v>
      </c>
      <c r="D1722" s="9" t="s">
        <v>5896</v>
      </c>
      <c r="E1722" s="10" t="str">
        <f>HYPERLINK("https://twitter.com/mey3427/status/1069364233542995968","1069364233542995968")</f>
        <v>1069364233542995968</v>
      </c>
      <c r="F1722" s="12"/>
      <c r="G1722" s="12"/>
      <c r="H1722" s="12"/>
      <c r="I1722" s="13">
        <v>0</v>
      </c>
      <c r="J1722" s="13">
        <v>0</v>
      </c>
      <c r="K1722" s="14" t="str">
        <f t="shared" si="294"/>
        <v>Twitter for Android</v>
      </c>
      <c r="L1722" s="13">
        <v>5059</v>
      </c>
      <c r="M1722" s="13">
        <v>1488</v>
      </c>
      <c r="N1722" s="13">
        <v>31</v>
      </c>
      <c r="O1722" s="15"/>
      <c r="P1722" s="6">
        <v>41020.876550925925</v>
      </c>
      <c r="Q1722" s="16" t="s">
        <v>5897</v>
      </c>
      <c r="R1722" s="17" t="s">
        <v>5898</v>
      </c>
      <c r="S1722" s="12"/>
      <c r="T1722" s="12"/>
      <c r="U1722" s="10" t="str">
        <f>HYPERLINK("https://pbs.twimg.com/profile_images/1070277723912921090/LL-8pvJk.jpg","View")</f>
        <v>View</v>
      </c>
    </row>
    <row r="1723" spans="1:21" ht="30.6">
      <c r="A1723" s="6">
        <v>43436.995717592596</v>
      </c>
      <c r="B1723" s="7" t="str">
        <f>HYPERLINK("https://twitter.com/Ddcastibanque","@Ddcastibanque")</f>
        <v>@Ddcastibanque</v>
      </c>
      <c r="C1723" s="8" t="s">
        <v>3178</v>
      </c>
      <c r="D1723" s="9" t="s">
        <v>5899</v>
      </c>
      <c r="E1723" s="10" t="str">
        <f>HYPERLINK("https://twitter.com/Ddcastibanque/status/1069364043696222208","1069364043696222208")</f>
        <v>1069364043696222208</v>
      </c>
      <c r="F1723" s="12"/>
      <c r="G1723" s="12"/>
      <c r="H1723" s="12"/>
      <c r="I1723" s="13">
        <v>0</v>
      </c>
      <c r="J1723" s="13">
        <v>2</v>
      </c>
      <c r="K1723" s="14" t="str">
        <f t="shared" ref="K1723:K1724" si="295">HYPERLINK("http://twitter.com/download/iphone","Twitter for iPhone")</f>
        <v>Twitter for iPhone</v>
      </c>
      <c r="L1723" s="13">
        <v>6273</v>
      </c>
      <c r="M1723" s="13">
        <v>3451</v>
      </c>
      <c r="N1723" s="13">
        <v>90</v>
      </c>
      <c r="O1723" s="15"/>
      <c r="P1723" s="6">
        <v>40945.025972222225</v>
      </c>
      <c r="Q1723" s="16" t="s">
        <v>5900</v>
      </c>
      <c r="R1723" s="17" t="s">
        <v>5901</v>
      </c>
      <c r="S1723" s="12"/>
      <c r="T1723" s="12"/>
      <c r="U1723" s="10" t="str">
        <f>HYPERLINK("https://pbs.twimg.com/profile_images/914832236670746624/pII3v1w4.jpg","View")</f>
        <v>View</v>
      </c>
    </row>
    <row r="1724" spans="1:21" ht="51">
      <c r="A1724" s="6">
        <v>43436.995173611111</v>
      </c>
      <c r="B1724" s="7" t="str">
        <f>HYPERLINK("https://twitter.com/Abelard0Vazquez","@Abelard0Vazquez")</f>
        <v>@Abelard0Vazquez</v>
      </c>
      <c r="C1724" s="8" t="s">
        <v>5902</v>
      </c>
      <c r="D1724" s="9" t="s">
        <v>5903</v>
      </c>
      <c r="E1724" s="10" t="str">
        <f>HYPERLINK("https://twitter.com/Abelard0Vazquez/status/1069363844659757056","1069363844659757056")</f>
        <v>1069363844659757056</v>
      </c>
      <c r="F1724" s="12"/>
      <c r="G1724" s="12"/>
      <c r="H1724" s="12"/>
      <c r="I1724" s="13">
        <v>1</v>
      </c>
      <c r="J1724" s="13">
        <v>2</v>
      </c>
      <c r="K1724" s="14" t="str">
        <f t="shared" si="295"/>
        <v>Twitter for iPhone</v>
      </c>
      <c r="L1724" s="13">
        <v>712</v>
      </c>
      <c r="M1724" s="13">
        <v>321</v>
      </c>
      <c r="N1724" s="13">
        <v>25</v>
      </c>
      <c r="O1724" s="15"/>
      <c r="P1724" s="6">
        <v>40585.096435185187</v>
      </c>
      <c r="Q1724" s="16" t="s">
        <v>489</v>
      </c>
      <c r="R1724" s="17" t="s">
        <v>5904</v>
      </c>
      <c r="S1724" s="11" t="s">
        <v>5905</v>
      </c>
      <c r="T1724" s="12"/>
      <c r="U1724" s="10" t="str">
        <f>HYPERLINK("https://pbs.twimg.com/profile_images/566658517617356801/ZvA5-9WC.jpeg","View")</f>
        <v>View</v>
      </c>
    </row>
    <row r="1725" spans="1:21" ht="30.6">
      <c r="A1725" s="6">
        <v>43436.994930555556</v>
      </c>
      <c r="B1725" s="7" t="str">
        <f>HYPERLINK("https://twitter.com/elyos68","@elyos68")</f>
        <v>@elyos68</v>
      </c>
      <c r="C1725" s="8" t="s">
        <v>5906</v>
      </c>
      <c r="D1725" s="9" t="s">
        <v>5907</v>
      </c>
      <c r="E1725" s="10" t="str">
        <f>HYPERLINK("https://twitter.com/elyos68/status/1069363758697508864","1069363758697508864")</f>
        <v>1069363758697508864</v>
      </c>
      <c r="F1725" s="12"/>
      <c r="G1725" s="12"/>
      <c r="H1725" s="12"/>
      <c r="I1725" s="13">
        <v>0</v>
      </c>
      <c r="J1725" s="13">
        <v>0</v>
      </c>
      <c r="K1725" s="14" t="str">
        <f>HYPERLINK("http://twitter.com/download/android","Twitter for Android")</f>
        <v>Twitter for Android</v>
      </c>
      <c r="L1725" s="13">
        <v>274</v>
      </c>
      <c r="M1725" s="13">
        <v>612</v>
      </c>
      <c r="N1725" s="13">
        <v>5</v>
      </c>
      <c r="O1725" s="15"/>
      <c r="P1725" s="6">
        <v>40716.979687500003</v>
      </c>
      <c r="Q1725" s="16" t="s">
        <v>167</v>
      </c>
      <c r="R1725" s="17" t="s">
        <v>5908</v>
      </c>
      <c r="S1725" s="12"/>
      <c r="T1725" s="12"/>
      <c r="U1725" s="10" t="str">
        <f>HYPERLINK("https://pbs.twimg.com/profile_images/575777715472588801/CukeRaU1.jpeg","View")</f>
        <v>View</v>
      </c>
    </row>
    <row r="1726" spans="1:21" ht="51">
      <c r="A1726" s="6">
        <v>43436.994374999995</v>
      </c>
      <c r="B1726" s="7" t="str">
        <f>HYPERLINK("https://twitter.com/tconchim_conchi","@tconchim_conchi")</f>
        <v>@tconchim_conchi</v>
      </c>
      <c r="C1726" s="8" t="s">
        <v>5909</v>
      </c>
      <c r="D1726" s="9" t="s">
        <v>5910</v>
      </c>
      <c r="E1726" s="10" t="str">
        <f>HYPERLINK("https://twitter.com/tconchim_conchi/status/1069363557425401856","1069363557425401856")</f>
        <v>1069363557425401856</v>
      </c>
      <c r="F1726" s="11" t="s">
        <v>5911</v>
      </c>
      <c r="G1726" s="12"/>
      <c r="H1726" s="12"/>
      <c r="I1726" s="13">
        <v>0</v>
      </c>
      <c r="J1726" s="13">
        <v>0</v>
      </c>
      <c r="K1726" s="14" t="str">
        <f t="shared" ref="K1726:K1727" si="296">HYPERLINK("http://twitter.com/download/iphone","Twitter for iPhone")</f>
        <v>Twitter for iPhone</v>
      </c>
      <c r="L1726" s="13">
        <v>136</v>
      </c>
      <c r="M1726" s="13">
        <v>445</v>
      </c>
      <c r="N1726" s="13">
        <v>5</v>
      </c>
      <c r="O1726" s="15"/>
      <c r="P1726" s="6">
        <v>41392.980451388888</v>
      </c>
      <c r="Q1726" s="12"/>
      <c r="R1726" s="17" t="s">
        <v>5912</v>
      </c>
      <c r="S1726" s="12"/>
      <c r="T1726" s="12"/>
      <c r="U1726" s="10" t="str">
        <f>HYPERLINK("https://pbs.twimg.com/profile_images/678664309703094273/iWv_1rkW.jpg","View")</f>
        <v>View</v>
      </c>
    </row>
    <row r="1727" spans="1:21" ht="40.799999999999997">
      <c r="A1727" s="6">
        <v>43436.994155092594</v>
      </c>
      <c r="B1727" s="7" t="str">
        <f>HYPERLINK("https://twitter.com/ViktorMedina","@ViktorMedina")</f>
        <v>@ViktorMedina</v>
      </c>
      <c r="C1727" s="8" t="s">
        <v>5913</v>
      </c>
      <c r="D1727" s="9" t="s">
        <v>5914</v>
      </c>
      <c r="E1727" s="10" t="str">
        <f>HYPERLINK("https://twitter.com/ViktorMedina/status/1069363476425003015","1069363476425003015")</f>
        <v>1069363476425003015</v>
      </c>
      <c r="F1727" s="12"/>
      <c r="G1727" s="12"/>
      <c r="H1727" s="12"/>
      <c r="I1727" s="13">
        <v>0</v>
      </c>
      <c r="J1727" s="13">
        <v>9</v>
      </c>
      <c r="K1727" s="14" t="str">
        <f t="shared" si="296"/>
        <v>Twitter for iPhone</v>
      </c>
      <c r="L1727" s="13">
        <v>2138</v>
      </c>
      <c r="M1727" s="13">
        <v>1397</v>
      </c>
      <c r="N1727" s="13">
        <v>41</v>
      </c>
      <c r="O1727" s="15"/>
      <c r="P1727" s="6">
        <v>40129.535636574074</v>
      </c>
      <c r="Q1727" s="16" t="s">
        <v>5915</v>
      </c>
      <c r="R1727" s="17" t="s">
        <v>5916</v>
      </c>
      <c r="S1727" s="11" t="s">
        <v>5917</v>
      </c>
      <c r="T1727" s="12"/>
      <c r="U1727" s="10" t="str">
        <f>HYPERLINK("https://pbs.twimg.com/profile_images/1053182543070146560/u1O3tppn.jpg","View")</f>
        <v>View</v>
      </c>
    </row>
    <row r="1728" spans="1:21" ht="40.799999999999997">
      <c r="A1728" s="6">
        <v>43436.993692129632</v>
      </c>
      <c r="B1728" s="7" t="str">
        <f>HYPERLINK("https://twitter.com/ivonnediaz2203","@ivonnediaz2203")</f>
        <v>@ivonnediaz2203</v>
      </c>
      <c r="C1728" s="8" t="s">
        <v>5918</v>
      </c>
      <c r="D1728" s="9" t="s">
        <v>5884</v>
      </c>
      <c r="E1728" s="10" t="str">
        <f>HYPERLINK("https://twitter.com/ivonnediaz2203/status/1069363310573903872","1069363310573903872")</f>
        <v>1069363310573903872</v>
      </c>
      <c r="F1728" s="11" t="s">
        <v>5919</v>
      </c>
      <c r="G1728" s="12"/>
      <c r="H1728" s="12"/>
      <c r="I1728" s="13">
        <v>0</v>
      </c>
      <c r="J1728" s="13">
        <v>0</v>
      </c>
      <c r="K1728" s="14" t="str">
        <f>HYPERLINK("http://www.facebook.com/twitter","Facebook")</f>
        <v>Facebook</v>
      </c>
      <c r="L1728" s="13">
        <v>519</v>
      </c>
      <c r="M1728" s="13">
        <v>657</v>
      </c>
      <c r="N1728" s="13">
        <v>21</v>
      </c>
      <c r="O1728" s="15"/>
      <c r="P1728" s="6">
        <v>41173.537499999999</v>
      </c>
      <c r="Q1728" s="16" t="s">
        <v>5920</v>
      </c>
      <c r="R1728" s="17" t="s">
        <v>5921</v>
      </c>
      <c r="S1728" s="12"/>
      <c r="T1728" s="12"/>
      <c r="U1728" s="10" t="str">
        <f>HYPERLINK("https://pbs.twimg.com/profile_images/925840298793734145/Ol86_OZI.jpg","View")</f>
        <v>View</v>
      </c>
    </row>
    <row r="1729" spans="1:21" ht="51">
      <c r="A1729" s="6">
        <v>43436.993518518517</v>
      </c>
      <c r="B1729" s="7" t="str">
        <f>HYPERLINK("https://twitter.com/hiberpirenais","@hiberpirenais")</f>
        <v>@hiberpirenais</v>
      </c>
      <c r="C1729" s="8" t="s">
        <v>5922</v>
      </c>
      <c r="D1729" s="9" t="s">
        <v>5923</v>
      </c>
      <c r="E1729" s="10" t="str">
        <f>HYPERLINK("https://twitter.com/hiberpirenais/status/1069363246036148224","1069363246036148224")</f>
        <v>1069363246036148224</v>
      </c>
      <c r="F1729" s="12"/>
      <c r="G1729" s="12"/>
      <c r="H1729" s="12"/>
      <c r="I1729" s="13">
        <v>0</v>
      </c>
      <c r="J1729" s="13">
        <v>0</v>
      </c>
      <c r="K1729" s="14" t="str">
        <f>HYPERLINK("http://twitter.com","Twitter Web Client")</f>
        <v>Twitter Web Client</v>
      </c>
      <c r="L1729" s="13">
        <v>10</v>
      </c>
      <c r="M1729" s="13">
        <v>44</v>
      </c>
      <c r="N1729" s="13">
        <v>0</v>
      </c>
      <c r="O1729" s="15"/>
      <c r="P1729" s="6">
        <v>41995.472094907411</v>
      </c>
      <c r="Q1729" s="16" t="s">
        <v>5924</v>
      </c>
      <c r="R1729" s="17" t="s">
        <v>5925</v>
      </c>
      <c r="S1729" s="12"/>
      <c r="T1729" s="12"/>
      <c r="U1729" s="10" t="str">
        <f>HYPERLINK("https://pbs.twimg.com/profile_images/1054882014833315841/fd8DphV1.jpg","View")</f>
        <v>View</v>
      </c>
    </row>
    <row r="1730" spans="1:21" ht="30.6">
      <c r="A1730" s="6">
        <v>43436.993368055555</v>
      </c>
      <c r="B1730" s="7" t="str">
        <f>HYPERLINK("https://twitter.com/SirFrancis84","@SirFrancis84")</f>
        <v>@SirFrancis84</v>
      </c>
      <c r="C1730" s="8" t="s">
        <v>4608</v>
      </c>
      <c r="D1730" s="9" t="s">
        <v>5926</v>
      </c>
      <c r="E1730" s="10" t="str">
        <f>HYPERLINK("https://twitter.com/SirFrancis84/status/1069363190679707649","1069363190679707649")</f>
        <v>1069363190679707649</v>
      </c>
      <c r="F1730" s="12"/>
      <c r="G1730" s="11" t="s">
        <v>5927</v>
      </c>
      <c r="H1730" s="12"/>
      <c r="I1730" s="13">
        <v>0</v>
      </c>
      <c r="J1730" s="13">
        <v>1</v>
      </c>
      <c r="K1730" s="14" t="str">
        <f>HYPERLINK("http://twitter.com/download/android","Twitter for Android")</f>
        <v>Twitter for Android</v>
      </c>
      <c r="L1730" s="13">
        <v>299</v>
      </c>
      <c r="M1730" s="13">
        <v>859</v>
      </c>
      <c r="N1730" s="13">
        <v>4</v>
      </c>
      <c r="O1730" s="15"/>
      <c r="P1730" s="6">
        <v>41205.03266203704</v>
      </c>
      <c r="Q1730" s="16" t="s">
        <v>328</v>
      </c>
      <c r="R1730" s="17" t="s">
        <v>4610</v>
      </c>
      <c r="S1730" s="12"/>
      <c r="T1730" s="12"/>
      <c r="U1730" s="10" t="str">
        <f>HYPERLINK("https://pbs.twimg.com/profile_images/920356673432293376/vFaTeRHJ.jpg","View")</f>
        <v>View</v>
      </c>
    </row>
    <row r="1731" spans="1:21" ht="71.400000000000006">
      <c r="A1731" s="6">
        <v>43436.993321759262</v>
      </c>
      <c r="B1731" s="7" t="str">
        <f>HYPERLINK("https://twitter.com/J_MartinezRubio","@J_MartinezRubio")</f>
        <v>@J_MartinezRubio</v>
      </c>
      <c r="C1731" s="8" t="s">
        <v>5928</v>
      </c>
      <c r="D1731" s="9" t="s">
        <v>5929</v>
      </c>
      <c r="E1731" s="10" t="str">
        <f>HYPERLINK("https://twitter.com/J_MartinezRubio/status/1069363176687501312","1069363176687501312")</f>
        <v>1069363176687501312</v>
      </c>
      <c r="F1731" s="11" t="s">
        <v>5930</v>
      </c>
      <c r="G1731" s="12"/>
      <c r="H1731" s="12"/>
      <c r="I1731" s="13">
        <v>0</v>
      </c>
      <c r="J1731" s="13">
        <v>1</v>
      </c>
      <c r="K1731" s="14" t="str">
        <f>HYPERLINK("http://twitter.com/download/iphone","Twitter for iPhone")</f>
        <v>Twitter for iPhone</v>
      </c>
      <c r="L1731" s="13">
        <v>1710</v>
      </c>
      <c r="M1731" s="13">
        <v>1455</v>
      </c>
      <c r="N1731" s="13">
        <v>35</v>
      </c>
      <c r="O1731" s="15"/>
      <c r="P1731" s="6">
        <v>40750.517187500001</v>
      </c>
      <c r="Q1731" s="16" t="s">
        <v>5931</v>
      </c>
      <c r="R1731" s="17" t="s">
        <v>5932</v>
      </c>
      <c r="S1731" s="11" t="s">
        <v>5933</v>
      </c>
      <c r="T1731" s="12"/>
      <c r="U1731" s="10" t="str">
        <f>HYPERLINK("https://pbs.twimg.com/profile_images/984904341982273536/bMn2Rjej.jpg","View")</f>
        <v>View</v>
      </c>
    </row>
    <row r="1732" spans="1:21" ht="20.399999999999999">
      <c r="A1732" s="6">
        <v>43436.990949074076</v>
      </c>
      <c r="B1732" s="7" t="str">
        <f>HYPERLINK("https://twitter.com/MarinVictoriano","@MarinVictoriano")</f>
        <v>@MarinVictoriano</v>
      </c>
      <c r="C1732" s="8" t="s">
        <v>5934</v>
      </c>
      <c r="D1732" s="9" t="s">
        <v>5935</v>
      </c>
      <c r="E1732" s="10" t="str">
        <f>HYPERLINK("https://twitter.com/MarinVictoriano/status/1069362315500429312","1069362315500429312")</f>
        <v>1069362315500429312</v>
      </c>
      <c r="F1732" s="12"/>
      <c r="G1732" s="12"/>
      <c r="H1732" s="12"/>
      <c r="I1732" s="13">
        <v>0</v>
      </c>
      <c r="J1732" s="13">
        <v>0</v>
      </c>
      <c r="K1732" s="14" t="str">
        <f t="shared" ref="K1732:K1733" si="297">HYPERLINK("http://twitter.com/download/android","Twitter for Android")</f>
        <v>Twitter for Android</v>
      </c>
      <c r="L1732" s="13">
        <v>116</v>
      </c>
      <c r="M1732" s="13">
        <v>222</v>
      </c>
      <c r="N1732" s="13">
        <v>3</v>
      </c>
      <c r="O1732" s="15"/>
      <c r="P1732" s="6">
        <v>40858.591990740737</v>
      </c>
      <c r="Q1732" s="16" t="s">
        <v>5936</v>
      </c>
      <c r="R1732" s="17" t="s">
        <v>5937</v>
      </c>
      <c r="S1732" s="12"/>
      <c r="T1732" s="12"/>
      <c r="U1732" s="10" t="str">
        <f>HYPERLINK("https://pbs.twimg.com/profile_images/862975064882413571/geySIhvy.jpg","View")</f>
        <v>View</v>
      </c>
    </row>
    <row r="1733" spans="1:21" ht="30.6">
      <c r="A1733" s="6">
        <v>43436.990393518514</v>
      </c>
      <c r="B1733" s="7" t="str">
        <f>HYPERLINK("https://twitter.com/piquerasantoni","@piquerasantoni")</f>
        <v>@piquerasantoni</v>
      </c>
      <c r="C1733" s="8" t="s">
        <v>5938</v>
      </c>
      <c r="D1733" s="9" t="s">
        <v>5939</v>
      </c>
      <c r="E1733" s="10" t="str">
        <f>HYPERLINK("https://twitter.com/piquerasantoni/status/1069362113951526913","1069362113951526913")</f>
        <v>1069362113951526913</v>
      </c>
      <c r="F1733" s="12"/>
      <c r="G1733" s="12"/>
      <c r="H1733" s="12"/>
      <c r="I1733" s="13">
        <v>1</v>
      </c>
      <c r="J1733" s="13">
        <v>3</v>
      </c>
      <c r="K1733" s="14" t="str">
        <f t="shared" si="297"/>
        <v>Twitter for Android</v>
      </c>
      <c r="L1733" s="13">
        <v>145</v>
      </c>
      <c r="M1733" s="13">
        <v>156</v>
      </c>
      <c r="N1733" s="13">
        <v>1</v>
      </c>
      <c r="O1733" s="15"/>
      <c r="P1733" s="6">
        <v>41484.686412037037</v>
      </c>
      <c r="Q1733" s="16" t="s">
        <v>5940</v>
      </c>
      <c r="R1733" s="17" t="s">
        <v>5941</v>
      </c>
      <c r="S1733" s="12"/>
      <c r="T1733" s="12"/>
      <c r="U1733" s="10" t="str">
        <f>HYPERLINK("https://pbs.twimg.com/profile_images/378800000210646594/b1b09af2438a021d7ab4ab43301ac416.jpeg","View")</f>
        <v>View</v>
      </c>
    </row>
    <row r="1734" spans="1:21" ht="40.799999999999997">
      <c r="A1734" s="6">
        <v>43436.988680555558</v>
      </c>
      <c r="B1734" s="7" t="str">
        <f>HYPERLINK("https://twitter.com/ASampedro29","@ASampedro29")</f>
        <v>@ASampedro29</v>
      </c>
      <c r="C1734" s="8" t="s">
        <v>5942</v>
      </c>
      <c r="D1734" s="9" t="s">
        <v>5943</v>
      </c>
      <c r="E1734" s="10" t="str">
        <f>HYPERLINK("https://twitter.com/ASampedro29/status/1069361494129852418","1069361494129852418")</f>
        <v>1069361494129852418</v>
      </c>
      <c r="F1734" s="12"/>
      <c r="G1734" s="12"/>
      <c r="H1734" s="12"/>
      <c r="I1734" s="13">
        <v>0</v>
      </c>
      <c r="J1734" s="13">
        <v>2</v>
      </c>
      <c r="K1734" s="14" t="str">
        <f t="shared" ref="K1734:K1735" si="298">HYPERLINK("http://twitter.com/download/iphone","Twitter for iPhone")</f>
        <v>Twitter for iPhone</v>
      </c>
      <c r="L1734" s="13">
        <v>252</v>
      </c>
      <c r="M1734" s="13">
        <v>259</v>
      </c>
      <c r="N1734" s="13">
        <v>4</v>
      </c>
      <c r="O1734" s="15"/>
      <c r="P1734" s="6">
        <v>40429.450694444444</v>
      </c>
      <c r="Q1734" s="16" t="s">
        <v>5944</v>
      </c>
      <c r="R1734" s="17" t="s">
        <v>5945</v>
      </c>
      <c r="S1734" s="11" t="s">
        <v>5946</v>
      </c>
      <c r="T1734" s="12"/>
      <c r="U1734" s="10" t="str">
        <f>HYPERLINK("https://pbs.twimg.com/profile_images/1044627214308954113/rypjAGVE.jpg","View")</f>
        <v>View</v>
      </c>
    </row>
    <row r="1735" spans="1:21" ht="51">
      <c r="A1735" s="6">
        <v>43436.988680555558</v>
      </c>
      <c r="B1735" s="7" t="str">
        <f>HYPERLINK("https://twitter.com/CrisGarciaCs","@CrisGarciaCs")</f>
        <v>@CrisGarciaCs</v>
      </c>
      <c r="C1735" s="8" t="s">
        <v>5947</v>
      </c>
      <c r="D1735" s="9" t="s">
        <v>5948</v>
      </c>
      <c r="E1735" s="10" t="str">
        <f>HYPERLINK("https://twitter.com/CrisGarciaCs/status/1069361493060268032","1069361493060268032")</f>
        <v>1069361493060268032</v>
      </c>
      <c r="F1735" s="12"/>
      <c r="G1735" s="12"/>
      <c r="H1735" s="12"/>
      <c r="I1735" s="13">
        <v>5</v>
      </c>
      <c r="J1735" s="13">
        <v>14</v>
      </c>
      <c r="K1735" s="14" t="str">
        <f t="shared" si="298"/>
        <v>Twitter for iPhone</v>
      </c>
      <c r="L1735" s="13">
        <v>1316</v>
      </c>
      <c r="M1735" s="13">
        <v>1052</v>
      </c>
      <c r="N1735" s="13">
        <v>16</v>
      </c>
      <c r="O1735" s="15"/>
      <c r="P1735" s="6">
        <v>42108.403078703705</v>
      </c>
      <c r="Q1735" s="16" t="s">
        <v>5949</v>
      </c>
      <c r="R1735" s="17" t="s">
        <v>5950</v>
      </c>
      <c r="S1735" s="11" t="s">
        <v>5951</v>
      </c>
      <c r="T1735" s="12"/>
      <c r="U1735" s="10" t="str">
        <f>HYPERLINK("https://pbs.twimg.com/profile_images/1012267828798525440/suLXI0ks.jpg","View")</f>
        <v>View</v>
      </c>
    </row>
    <row r="1736" spans="1:21" ht="30.6">
      <c r="A1736" s="6">
        <v>43436.988437499997</v>
      </c>
      <c r="B1736" s="7" t="str">
        <f>HYPERLINK("https://twitter.com/Mxose","@Mxose")</f>
        <v>@Mxose</v>
      </c>
      <c r="C1736" s="8" t="s">
        <v>5952</v>
      </c>
      <c r="D1736" s="9" t="s">
        <v>5953</v>
      </c>
      <c r="E1736" s="10" t="str">
        <f>HYPERLINK("https://twitter.com/Mxose/status/1069361406045274112","1069361406045274112")</f>
        <v>1069361406045274112</v>
      </c>
      <c r="F1736" s="12"/>
      <c r="G1736" s="12"/>
      <c r="H1736" s="12"/>
      <c r="I1736" s="13">
        <v>0</v>
      </c>
      <c r="J1736" s="13">
        <v>0</v>
      </c>
      <c r="K1736" s="14" t="str">
        <f>HYPERLINK("http://twitter.com/download/android","Twitter for Android")</f>
        <v>Twitter for Android</v>
      </c>
      <c r="L1736" s="13">
        <v>843</v>
      </c>
      <c r="M1736" s="13">
        <v>689</v>
      </c>
      <c r="N1736" s="13">
        <v>43</v>
      </c>
      <c r="O1736" s="15"/>
      <c r="P1736" s="6">
        <v>40560.61986111111</v>
      </c>
      <c r="Q1736" s="12"/>
      <c r="R1736" s="17" t="s">
        <v>5954</v>
      </c>
      <c r="S1736" s="12"/>
      <c r="T1736" s="12"/>
      <c r="U1736" s="10" t="str">
        <f>HYPERLINK("https://pbs.twimg.com/profile_images/1002505138978816001/ZV0ZW5GW.jpg","View")</f>
        <v>View</v>
      </c>
    </row>
    <row r="1737" spans="1:21" ht="30.6">
      <c r="A1737" s="6">
        <v>43436.987974537042</v>
      </c>
      <c r="B1737" s="7" t="str">
        <f>HYPERLINK("https://twitter.com/Manulicu","@Manulicu")</f>
        <v>@Manulicu</v>
      </c>
      <c r="C1737" s="8" t="s">
        <v>5955</v>
      </c>
      <c r="D1737" s="9" t="s">
        <v>5956</v>
      </c>
      <c r="E1737" s="10" t="str">
        <f>HYPERLINK("https://twitter.com/Manulicu/status/1069361238990303232","1069361238990303232")</f>
        <v>1069361238990303232</v>
      </c>
      <c r="F1737" s="12"/>
      <c r="G1737" s="12"/>
      <c r="H1737" s="12"/>
      <c r="I1737" s="13">
        <v>0</v>
      </c>
      <c r="J1737" s="13">
        <v>1</v>
      </c>
      <c r="K1737" s="14" t="str">
        <f t="shared" ref="K1737:K1738" si="299">HYPERLINK("http://twitter.com/download/iphone","Twitter for iPhone")</f>
        <v>Twitter for iPhone</v>
      </c>
      <c r="L1737" s="13">
        <v>449</v>
      </c>
      <c r="M1737" s="13">
        <v>424</v>
      </c>
      <c r="N1737" s="13">
        <v>0</v>
      </c>
      <c r="O1737" s="15"/>
      <c r="P1737" s="6">
        <v>40654.666620370372</v>
      </c>
      <c r="Q1737" s="12"/>
      <c r="R1737" s="17" t="s">
        <v>5957</v>
      </c>
      <c r="S1737" s="12"/>
      <c r="T1737" s="12"/>
      <c r="U1737" s="10" t="str">
        <f>HYPERLINK("https://pbs.twimg.com/profile_images/585809700970749952/tsniDQ61.jpg","View")</f>
        <v>View</v>
      </c>
    </row>
    <row r="1738" spans="1:21" ht="30.6">
      <c r="A1738" s="6">
        <v>43436.987939814819</v>
      </c>
      <c r="B1738" s="7" t="str">
        <f>HYPERLINK("https://twitter.com/estxbao","@estxbao")</f>
        <v>@estxbao</v>
      </c>
      <c r="C1738" s="8" t="s">
        <v>5958</v>
      </c>
      <c r="D1738" s="9" t="s">
        <v>5959</v>
      </c>
      <c r="E1738" s="10" t="str">
        <f>HYPERLINK("https://twitter.com/estxbao/status/1069361224977186817","1069361224977186817")</f>
        <v>1069361224977186817</v>
      </c>
      <c r="F1738" s="12"/>
      <c r="G1738" s="12"/>
      <c r="H1738" s="12"/>
      <c r="I1738" s="13">
        <v>1</v>
      </c>
      <c r="J1738" s="13">
        <v>1</v>
      </c>
      <c r="K1738" s="14" t="str">
        <f t="shared" si="299"/>
        <v>Twitter for iPhone</v>
      </c>
      <c r="L1738" s="13">
        <v>1004</v>
      </c>
      <c r="M1738" s="13">
        <v>258</v>
      </c>
      <c r="N1738" s="13">
        <v>30</v>
      </c>
      <c r="O1738" s="15"/>
      <c r="P1738" s="6">
        <v>41999.431874999995</v>
      </c>
      <c r="Q1738" s="16" t="s">
        <v>5960</v>
      </c>
      <c r="R1738" s="17" t="s">
        <v>5961</v>
      </c>
      <c r="S1738" s="12"/>
      <c r="T1738" s="12"/>
      <c r="U1738" s="10" t="str">
        <f>HYPERLINK("https://pbs.twimg.com/profile_images/1070429114702667779/DJyaDLot.jpg","View")</f>
        <v>View</v>
      </c>
    </row>
    <row r="1739" spans="1:21" ht="40.799999999999997">
      <c r="A1739" s="6">
        <v>43436.987858796296</v>
      </c>
      <c r="B1739" s="7" t="str">
        <f>HYPERLINK("https://twitter.com/TontolPoble","@TontolPoble")</f>
        <v>@TontolPoble</v>
      </c>
      <c r="C1739" s="8" t="s">
        <v>5962</v>
      </c>
      <c r="D1739" s="9" t="s">
        <v>5963</v>
      </c>
      <c r="E1739" s="10" t="str">
        <f>HYPERLINK("https://twitter.com/TontolPoble/status/1069361195419934727","1069361195419934727")</f>
        <v>1069361195419934727</v>
      </c>
      <c r="F1739" s="12"/>
      <c r="G1739" s="12"/>
      <c r="H1739" s="12"/>
      <c r="I1739" s="13">
        <v>1</v>
      </c>
      <c r="J1739" s="13">
        <v>2</v>
      </c>
      <c r="K1739" s="14" t="str">
        <f>HYPERLINK("https://mobile.twitter.com","Twitter Lite")</f>
        <v>Twitter Lite</v>
      </c>
      <c r="L1739" s="13">
        <v>2537</v>
      </c>
      <c r="M1739" s="13">
        <v>996</v>
      </c>
      <c r="N1739" s="13">
        <v>36</v>
      </c>
      <c r="O1739" s="15"/>
      <c r="P1739" s="6">
        <v>43211.667349537034</v>
      </c>
      <c r="Q1739" s="16" t="s">
        <v>816</v>
      </c>
      <c r="R1739" s="17" t="s">
        <v>5964</v>
      </c>
      <c r="S1739" s="12"/>
      <c r="T1739" s="12"/>
      <c r="U1739" s="10" t="str">
        <f>HYPERLINK("https://pbs.twimg.com/profile_images/987693455961968640/sgH2O2HG.jpg","View")</f>
        <v>View</v>
      </c>
    </row>
    <row r="1740" spans="1:21" ht="51">
      <c r="A1740" s="6">
        <v>43436.98709490741</v>
      </c>
      <c r="B1740" s="7" t="str">
        <f>HYPERLINK("https://twitter.com/joseleana5461","@joseleana5461")</f>
        <v>@joseleana5461</v>
      </c>
      <c r="C1740" s="8" t="s">
        <v>2963</v>
      </c>
      <c r="D1740" s="9" t="s">
        <v>5965</v>
      </c>
      <c r="E1740" s="10" t="str">
        <f>HYPERLINK("https://twitter.com/joseleana5461/status/1069360921003376640","1069360921003376640")</f>
        <v>1069360921003376640</v>
      </c>
      <c r="F1740" s="12"/>
      <c r="G1740" s="12"/>
      <c r="H1740" s="12"/>
      <c r="I1740" s="13">
        <v>1</v>
      </c>
      <c r="J1740" s="13">
        <v>1</v>
      </c>
      <c r="K1740" s="14" t="str">
        <f>HYPERLINK("http://twitter.com/download/android","Twitter for Android")</f>
        <v>Twitter for Android</v>
      </c>
      <c r="L1740" s="13">
        <v>69</v>
      </c>
      <c r="M1740" s="13">
        <v>158</v>
      </c>
      <c r="N1740" s="13">
        <v>0</v>
      </c>
      <c r="O1740" s="15"/>
      <c r="P1740" s="6">
        <v>42231.60157407407</v>
      </c>
      <c r="Q1740" s="12"/>
      <c r="R1740" s="20"/>
      <c r="S1740" s="12"/>
      <c r="T1740" s="12"/>
      <c r="U1740" s="10" t="str">
        <f>HYPERLINK("https://pbs.twimg.com/profile_images/976638684358422533/OQOuU0i6.jpg","View")</f>
        <v>View</v>
      </c>
    </row>
    <row r="1741" spans="1:21" ht="20.399999999999999">
      <c r="A1741" s="6">
        <v>43436.987060185187</v>
      </c>
      <c r="B1741" s="7" t="str">
        <f>HYPERLINK("https://twitter.com/canderueda54","@canderueda54")</f>
        <v>@canderueda54</v>
      </c>
      <c r="C1741" s="8" t="s">
        <v>5966</v>
      </c>
      <c r="D1741" s="9" t="s">
        <v>5967</v>
      </c>
      <c r="E1741" s="10" t="str">
        <f>HYPERLINK("https://twitter.com/canderueda54/status/1069360906285522944","1069360906285522944")</f>
        <v>1069360906285522944</v>
      </c>
      <c r="F1741" s="12"/>
      <c r="G1741" s="12"/>
      <c r="H1741" s="12"/>
      <c r="I1741" s="13">
        <v>0</v>
      </c>
      <c r="J1741" s="13">
        <v>1</v>
      </c>
      <c r="K1741" s="14" t="str">
        <f>HYPERLINK("http://twitter.com/download/iphone","Twitter for iPhone")</f>
        <v>Twitter for iPhone</v>
      </c>
      <c r="L1741" s="13">
        <v>867</v>
      </c>
      <c r="M1741" s="13">
        <v>144</v>
      </c>
      <c r="N1741" s="13">
        <v>2</v>
      </c>
      <c r="O1741" s="15"/>
      <c r="P1741" s="6">
        <v>40384.964861111112</v>
      </c>
      <c r="Q1741" s="16" t="s">
        <v>5968</v>
      </c>
      <c r="R1741" s="20"/>
      <c r="S1741" s="11" t="s">
        <v>5969</v>
      </c>
      <c r="T1741" s="12"/>
      <c r="U1741" s="10" t="str">
        <f>HYPERLINK("https://pbs.twimg.com/profile_images/1071418451175067650/XrVCztqc.jpg","View")</f>
        <v>View</v>
      </c>
    </row>
    <row r="1742" spans="1:21" ht="13.2">
      <c r="A1742" s="6">
        <v>43436.986979166672</v>
      </c>
      <c r="B1742" s="7" t="str">
        <f>HYPERLINK("https://twitter.com/Brona_Ca","@Brona_Ca")</f>
        <v>@Brona_Ca</v>
      </c>
      <c r="C1742" s="8" t="s">
        <v>5970</v>
      </c>
      <c r="D1742" s="9" t="s">
        <v>5971</v>
      </c>
      <c r="E1742" s="10" t="str">
        <f>HYPERLINK("https://twitter.com/Brona_Ca/status/1069360878674472960","1069360878674472960")</f>
        <v>1069360878674472960</v>
      </c>
      <c r="F1742" s="12"/>
      <c r="G1742" s="11" t="s">
        <v>5972</v>
      </c>
      <c r="H1742" s="12"/>
      <c r="I1742" s="13">
        <v>0</v>
      </c>
      <c r="J1742" s="13">
        <v>0</v>
      </c>
      <c r="K1742" s="14" t="str">
        <f t="shared" ref="K1742:K1743" si="300">HYPERLINK("http://twitter.com/download/android","Twitter for Android")</f>
        <v>Twitter for Android</v>
      </c>
      <c r="L1742" s="13">
        <v>8</v>
      </c>
      <c r="M1742" s="13">
        <v>43</v>
      </c>
      <c r="N1742" s="13">
        <v>0</v>
      </c>
      <c r="O1742" s="15"/>
      <c r="P1742" s="6">
        <v>43210.507916666669</v>
      </c>
      <c r="Q1742" s="12"/>
      <c r="R1742" s="17" t="s">
        <v>5973</v>
      </c>
      <c r="S1742" s="12"/>
      <c r="T1742" s="12"/>
      <c r="U1742" s="10" t="str">
        <f>HYPERLINK("https://pbs.twimg.com/profile_images/987275759227195392/qATB8sbr.jpg","View")</f>
        <v>View</v>
      </c>
    </row>
    <row r="1743" spans="1:21" ht="40.799999999999997">
      <c r="A1743" s="6">
        <v>43436.986956018518</v>
      </c>
      <c r="B1743" s="7" t="str">
        <f>HYPERLINK("https://twitter.com/maequez67","@maequez67")</f>
        <v>@maequez67</v>
      </c>
      <c r="C1743" s="8" t="s">
        <v>5095</v>
      </c>
      <c r="D1743" s="9" t="s">
        <v>5974</v>
      </c>
      <c r="E1743" s="10" t="str">
        <f>HYPERLINK("https://twitter.com/maequez67/status/1069360868062834690","1069360868062834690")</f>
        <v>1069360868062834690</v>
      </c>
      <c r="F1743" s="12"/>
      <c r="G1743" s="11" t="s">
        <v>5975</v>
      </c>
      <c r="H1743" s="12"/>
      <c r="I1743" s="13">
        <v>0</v>
      </c>
      <c r="J1743" s="13">
        <v>0</v>
      </c>
      <c r="K1743" s="14" t="str">
        <f t="shared" si="300"/>
        <v>Twitter for Android</v>
      </c>
      <c r="L1743" s="13">
        <v>832</v>
      </c>
      <c r="M1743" s="13">
        <v>1544</v>
      </c>
      <c r="N1743" s="13">
        <v>21</v>
      </c>
      <c r="O1743" s="15"/>
      <c r="P1743" s="6">
        <v>42159.404027777782</v>
      </c>
      <c r="Q1743" s="16" t="s">
        <v>232</v>
      </c>
      <c r="R1743" s="17" t="s">
        <v>5098</v>
      </c>
      <c r="S1743" s="12"/>
      <c r="T1743" s="12"/>
      <c r="U1743" s="10" t="str">
        <f>HYPERLINK("https://pbs.twimg.com/profile_images/1070967120832446464/Aw0szm5h.jpg","View")</f>
        <v>View</v>
      </c>
    </row>
    <row r="1744" spans="1:21" ht="40.799999999999997">
      <c r="A1744" s="6">
        <v>43436.986921296295</v>
      </c>
      <c r="B1744" s="7" t="str">
        <f>HYPERLINK("https://twitter.com/Nekane_987","@Nekane_987")</f>
        <v>@Nekane_987</v>
      </c>
      <c r="C1744" s="8" t="s">
        <v>5976</v>
      </c>
      <c r="D1744" s="9" t="s">
        <v>5977</v>
      </c>
      <c r="E1744" s="10" t="str">
        <f>HYPERLINK("https://twitter.com/Nekane_987/status/1069360856088096768","1069360856088096768")</f>
        <v>1069360856088096768</v>
      </c>
      <c r="F1744" s="12"/>
      <c r="G1744" s="12"/>
      <c r="H1744" s="12"/>
      <c r="I1744" s="13">
        <v>8</v>
      </c>
      <c r="J1744" s="13">
        <v>11</v>
      </c>
      <c r="K1744" s="14" t="str">
        <f>HYPERLINK("http://twitter.com/download/iphone","Twitter for iPhone")</f>
        <v>Twitter for iPhone</v>
      </c>
      <c r="L1744" s="13">
        <v>7673</v>
      </c>
      <c r="M1744" s="13">
        <v>3546</v>
      </c>
      <c r="N1744" s="13">
        <v>42</v>
      </c>
      <c r="O1744" s="15"/>
      <c r="P1744" s="6">
        <v>42008.747175925921</v>
      </c>
      <c r="Q1744" s="12"/>
      <c r="R1744" s="17" t="s">
        <v>5978</v>
      </c>
      <c r="S1744" s="12"/>
      <c r="T1744" s="12"/>
      <c r="U1744" s="10" t="str">
        <f>HYPERLINK("https://pbs.twimg.com/profile_images/1071091475562315777/6c7jVr31.jpg","View")</f>
        <v>View</v>
      </c>
    </row>
    <row r="1745" spans="1:21" ht="20.399999999999999">
      <c r="A1745" s="6">
        <v>43436.986666666664</v>
      </c>
      <c r="B1745" s="7" t="str">
        <f>HYPERLINK("https://twitter.com/capitellos","@capitellos")</f>
        <v>@capitellos</v>
      </c>
      <c r="C1745" s="8" t="s">
        <v>5979</v>
      </c>
      <c r="D1745" s="9" t="s">
        <v>5980</v>
      </c>
      <c r="E1745" s="10" t="str">
        <f>HYPERLINK("https://twitter.com/capitellos/status/1069360762001469440","1069360762001469440")</f>
        <v>1069360762001469440</v>
      </c>
      <c r="F1745" s="12"/>
      <c r="G1745" s="12"/>
      <c r="H1745" s="12"/>
      <c r="I1745" s="13">
        <v>0</v>
      </c>
      <c r="J1745" s="13">
        <v>0</v>
      </c>
      <c r="K1745" s="14" t="str">
        <f>HYPERLINK("http://twitter.com/#!/download/ipad","Twitter for iPad")</f>
        <v>Twitter for iPad</v>
      </c>
      <c r="L1745" s="13">
        <v>1013</v>
      </c>
      <c r="M1745" s="13">
        <v>2463</v>
      </c>
      <c r="N1745" s="13">
        <v>9</v>
      </c>
      <c r="O1745" s="15"/>
      <c r="P1745" s="6">
        <v>40377.531238425923</v>
      </c>
      <c r="Q1745" s="16" t="s">
        <v>5981</v>
      </c>
      <c r="R1745" s="17" t="s">
        <v>5982</v>
      </c>
      <c r="S1745" s="12"/>
      <c r="T1745" s="12"/>
      <c r="U1745" s="10" t="str">
        <f>HYPERLINK("https://pbs.twimg.com/profile_images/877267290462593025/AUkgoBus.jpg","View")</f>
        <v>View</v>
      </c>
    </row>
    <row r="1746" spans="1:21" ht="30.6">
      <c r="A1746" s="6">
        <v>43436.986527777779</v>
      </c>
      <c r="B1746" s="7" t="str">
        <f>HYPERLINK("https://twitter.com/Fran26SS","@Fran26SS")</f>
        <v>@Fran26SS</v>
      </c>
      <c r="C1746" s="8" t="s">
        <v>5983</v>
      </c>
      <c r="D1746" s="9" t="s">
        <v>5984</v>
      </c>
      <c r="E1746" s="10" t="str">
        <f>HYPERLINK("https://twitter.com/Fran26SS/status/1069360711900508162","1069360711900508162")</f>
        <v>1069360711900508162</v>
      </c>
      <c r="F1746" s="12"/>
      <c r="G1746" s="12"/>
      <c r="H1746" s="12"/>
      <c r="I1746" s="13">
        <v>0</v>
      </c>
      <c r="J1746" s="13">
        <v>0</v>
      </c>
      <c r="K1746" s="14" t="str">
        <f>HYPERLINK("http://twitter.com","Twitter Web Client")</f>
        <v>Twitter Web Client</v>
      </c>
      <c r="L1746" s="13">
        <v>270</v>
      </c>
      <c r="M1746" s="13">
        <v>281</v>
      </c>
      <c r="N1746" s="13">
        <v>13</v>
      </c>
      <c r="O1746" s="15"/>
      <c r="P1746" s="6">
        <v>40600.806643518517</v>
      </c>
      <c r="Q1746" s="16" t="s">
        <v>5985</v>
      </c>
      <c r="R1746" s="17" t="s">
        <v>5986</v>
      </c>
      <c r="S1746" s="12"/>
      <c r="T1746" s="12"/>
      <c r="U1746" s="10" t="str">
        <f>HYPERLINK("https://pbs.twimg.com/profile_images/788098269054468096/yeDNRBwB.jpg","View")</f>
        <v>View</v>
      </c>
    </row>
    <row r="1747" spans="1:21" ht="20.399999999999999">
      <c r="A1747" s="6">
        <v>43436.98637731481</v>
      </c>
      <c r="B1747" s="7" t="str">
        <f>HYPERLINK("https://twitter.com/Vilchez89","@Vilchez89")</f>
        <v>@Vilchez89</v>
      </c>
      <c r="C1747" s="8" t="s">
        <v>5987</v>
      </c>
      <c r="D1747" s="9" t="s">
        <v>5988</v>
      </c>
      <c r="E1747" s="10" t="str">
        <f>HYPERLINK("https://twitter.com/Vilchez89/status/1069360660465758209","1069360660465758209")</f>
        <v>1069360660465758209</v>
      </c>
      <c r="F1747" s="12"/>
      <c r="G1747" s="12"/>
      <c r="H1747" s="12"/>
      <c r="I1747" s="13">
        <v>0</v>
      </c>
      <c r="J1747" s="13">
        <v>1</v>
      </c>
      <c r="K1747" s="14" t="str">
        <f>HYPERLINK("http://twitter.com/download/android","Twitter for Android")</f>
        <v>Twitter for Android</v>
      </c>
      <c r="L1747" s="13">
        <v>557</v>
      </c>
      <c r="M1747" s="13">
        <v>330</v>
      </c>
      <c r="N1747" s="13">
        <v>8</v>
      </c>
      <c r="O1747" s="15"/>
      <c r="P1747" s="6">
        <v>40980.858124999999</v>
      </c>
      <c r="Q1747" s="16" t="s">
        <v>583</v>
      </c>
      <c r="R1747" s="17" t="s">
        <v>5989</v>
      </c>
      <c r="S1747" s="12"/>
      <c r="T1747" s="12"/>
      <c r="U1747" s="10" t="str">
        <f>HYPERLINK("https://pbs.twimg.com/profile_images/1013091660430004224/5LeJbFVi.jpg","View")</f>
        <v>View</v>
      </c>
    </row>
    <row r="1748" spans="1:21" ht="30.6">
      <c r="A1748" s="6">
        <v>43436.986226851848</v>
      </c>
      <c r="B1748" s="7" t="str">
        <f>HYPERLINK("https://twitter.com/anamadrazo61","@anamadrazo61")</f>
        <v>@anamadrazo61</v>
      </c>
      <c r="C1748" s="8" t="s">
        <v>5990</v>
      </c>
      <c r="D1748" s="9" t="s">
        <v>5991</v>
      </c>
      <c r="E1748" s="10" t="str">
        <f>HYPERLINK("https://twitter.com/anamadrazo61/status/1069360605805588481","1069360605805588481")</f>
        <v>1069360605805588481</v>
      </c>
      <c r="F1748" s="12"/>
      <c r="G1748" s="11" t="s">
        <v>5992</v>
      </c>
      <c r="H1748" s="12"/>
      <c r="I1748" s="13">
        <v>5</v>
      </c>
      <c r="J1748" s="13">
        <v>3</v>
      </c>
      <c r="K1748" s="14" t="str">
        <f>HYPERLINK("http://twitter.com/download/iphone","Twitter for iPhone")</f>
        <v>Twitter for iPhone</v>
      </c>
      <c r="L1748" s="13">
        <v>4384</v>
      </c>
      <c r="M1748" s="13">
        <v>1814</v>
      </c>
      <c r="N1748" s="13">
        <v>129</v>
      </c>
      <c r="O1748" s="19" t="s">
        <v>44</v>
      </c>
      <c r="P1748" s="6">
        <v>40804.619571759264</v>
      </c>
      <c r="Q1748" s="12"/>
      <c r="R1748" s="17" t="s">
        <v>5993</v>
      </c>
      <c r="S1748" s="12"/>
      <c r="T1748" s="12"/>
      <c r="U1748" s="10" t="str">
        <f>HYPERLINK("https://pbs.twimg.com/profile_images/912733440545615872/5Hg20Tsl.jpg","View")</f>
        <v>View</v>
      </c>
    </row>
    <row r="1749" spans="1:21" ht="30.6">
      <c r="A1749" s="6">
        <v>43436.986122685186</v>
      </c>
      <c r="B1749" s="7" t="str">
        <f>HYPERLINK("https://twitter.com/diego_abubu","@diego_abubu")</f>
        <v>@diego_abubu</v>
      </c>
      <c r="C1749" s="8" t="s">
        <v>5994</v>
      </c>
      <c r="D1749" s="9" t="s">
        <v>5995</v>
      </c>
      <c r="E1749" s="10" t="str">
        <f>HYPERLINK("https://twitter.com/diego_abubu/status/1069360566848897024","1069360566848897024")</f>
        <v>1069360566848897024</v>
      </c>
      <c r="F1749" s="12"/>
      <c r="G1749" s="12"/>
      <c r="H1749" s="12"/>
      <c r="I1749" s="13">
        <v>0</v>
      </c>
      <c r="J1749" s="13">
        <v>0</v>
      </c>
      <c r="K1749" s="14" t="str">
        <f>HYPERLINK("http://twitter.com/download/android","Twitter for Android")</f>
        <v>Twitter for Android</v>
      </c>
      <c r="L1749" s="13">
        <v>126</v>
      </c>
      <c r="M1749" s="13">
        <v>1402</v>
      </c>
      <c r="N1749" s="13">
        <v>1</v>
      </c>
      <c r="O1749" s="15"/>
      <c r="P1749" s="6">
        <v>40944.908287037033</v>
      </c>
      <c r="Q1749" s="16" t="s">
        <v>191</v>
      </c>
      <c r="R1749" s="17" t="s">
        <v>5996</v>
      </c>
      <c r="S1749" s="12"/>
      <c r="T1749" s="12"/>
      <c r="U1749" s="10" t="str">
        <f>HYPERLINK("https://pbs.twimg.com/profile_images/765567834382557185/-cwemea9.jpg","View")</f>
        <v>View</v>
      </c>
    </row>
    <row r="1750" spans="1:21" ht="30.6">
      <c r="A1750" s="6">
        <v>43436.98600694444</v>
      </c>
      <c r="B1750" s="7" t="str">
        <f>HYPERLINK("https://twitter.com/Yogui_Bear","@Yogui_Bear")</f>
        <v>@Yogui_Bear</v>
      </c>
      <c r="C1750" s="8" t="s">
        <v>5997</v>
      </c>
      <c r="D1750" s="9" t="s">
        <v>5998</v>
      </c>
      <c r="E1750" s="10" t="str">
        <f>HYPERLINK("https://twitter.com/Yogui_Bear/status/1069360526457749504","1069360526457749504")</f>
        <v>1069360526457749504</v>
      </c>
      <c r="F1750" s="12"/>
      <c r="G1750" s="12"/>
      <c r="H1750" s="12"/>
      <c r="I1750" s="13">
        <v>0</v>
      </c>
      <c r="J1750" s="13">
        <v>2</v>
      </c>
      <c r="K1750" s="14" t="str">
        <f t="shared" ref="K1750:K1751" si="301">HYPERLINK("http://twitter.com/download/iphone","Twitter for iPhone")</f>
        <v>Twitter for iPhone</v>
      </c>
      <c r="L1750" s="13">
        <v>1003</v>
      </c>
      <c r="M1750" s="13">
        <v>749</v>
      </c>
      <c r="N1750" s="13">
        <v>34</v>
      </c>
      <c r="O1750" s="15"/>
      <c r="P1750" s="6">
        <v>41332.846909722226</v>
      </c>
      <c r="Q1750" s="16" t="s">
        <v>5999</v>
      </c>
      <c r="R1750" s="17" t="s">
        <v>6000</v>
      </c>
      <c r="S1750" s="11" t="s">
        <v>6001</v>
      </c>
      <c r="T1750" s="12"/>
      <c r="U1750" s="10" t="str">
        <f>HYPERLINK("https://pbs.twimg.com/profile_images/1060531474527596549/r3IDDb08.jpg","View")</f>
        <v>View</v>
      </c>
    </row>
    <row r="1751" spans="1:21" ht="51">
      <c r="A1751" s="6">
        <v>43436.985983796301</v>
      </c>
      <c r="B1751" s="7" t="str">
        <f>HYPERLINK("https://twitter.com/nicorivera9","@nicorivera9")</f>
        <v>@nicorivera9</v>
      </c>
      <c r="C1751" s="8" t="s">
        <v>6002</v>
      </c>
      <c r="D1751" s="9" t="s">
        <v>6003</v>
      </c>
      <c r="E1751" s="10" t="str">
        <f>HYPERLINK("https://twitter.com/nicorivera9/status/1069360515581952000","1069360515581952000")</f>
        <v>1069360515581952000</v>
      </c>
      <c r="F1751" s="12"/>
      <c r="G1751" s="12"/>
      <c r="H1751" s="12"/>
      <c r="I1751" s="13">
        <v>0</v>
      </c>
      <c r="J1751" s="13">
        <v>4</v>
      </c>
      <c r="K1751" s="14" t="str">
        <f t="shared" si="301"/>
        <v>Twitter for iPhone</v>
      </c>
      <c r="L1751" s="13">
        <v>3986</v>
      </c>
      <c r="M1751" s="13">
        <v>703</v>
      </c>
      <c r="N1751" s="13">
        <v>147</v>
      </c>
      <c r="O1751" s="19" t="s">
        <v>44</v>
      </c>
      <c r="P1751" s="6">
        <v>40543.586331018516</v>
      </c>
      <c r="Q1751" s="16" t="s">
        <v>30</v>
      </c>
      <c r="R1751" s="17" t="s">
        <v>6004</v>
      </c>
      <c r="S1751" s="11" t="s">
        <v>6005</v>
      </c>
      <c r="T1751" s="12"/>
      <c r="U1751" s="10" t="str">
        <f>HYPERLINK("https://pbs.twimg.com/profile_images/1057089891308331010/SFd-LK7f.jpg","View")</f>
        <v>View</v>
      </c>
    </row>
    <row r="1752" spans="1:21" ht="40.799999999999997">
      <c r="A1752" s="6">
        <v>43436.985775462963</v>
      </c>
      <c r="B1752" s="7" t="str">
        <f>HYPERLINK("https://twitter.com/NanoAmeneiro","@NanoAmeneiro")</f>
        <v>@NanoAmeneiro</v>
      </c>
      <c r="C1752" s="8" t="s">
        <v>6006</v>
      </c>
      <c r="D1752" s="9" t="s">
        <v>6007</v>
      </c>
      <c r="E1752" s="10" t="str">
        <f>HYPERLINK("https://twitter.com/NanoAmeneiro/status/1069360442722660354","1069360442722660354")</f>
        <v>1069360442722660354</v>
      </c>
      <c r="F1752" s="12"/>
      <c r="G1752" s="12"/>
      <c r="H1752" s="12"/>
      <c r="I1752" s="13">
        <v>0</v>
      </c>
      <c r="J1752" s="13">
        <v>1</v>
      </c>
      <c r="K1752" s="14" t="str">
        <f t="shared" ref="K1752:K1757" si="302">HYPERLINK("http://twitter.com/download/android","Twitter for Android")</f>
        <v>Twitter for Android</v>
      </c>
      <c r="L1752" s="13">
        <v>651</v>
      </c>
      <c r="M1752" s="13">
        <v>1007</v>
      </c>
      <c r="N1752" s="13">
        <v>16</v>
      </c>
      <c r="O1752" s="15"/>
      <c r="P1752" s="6">
        <v>40408.898645833331</v>
      </c>
      <c r="Q1752" s="16" t="s">
        <v>6008</v>
      </c>
      <c r="R1752" s="17" t="s">
        <v>6009</v>
      </c>
      <c r="S1752" s="11" t="s">
        <v>6010</v>
      </c>
      <c r="T1752" s="12"/>
      <c r="U1752" s="10" t="str">
        <f>HYPERLINK("https://pbs.twimg.com/profile_images/1054056893298196480/x2Q1b_Vp.jpg","View")</f>
        <v>View</v>
      </c>
    </row>
    <row r="1753" spans="1:21" ht="40.799999999999997">
      <c r="A1753" s="6">
        <v>43436.985694444447</v>
      </c>
      <c r="B1753" s="7" t="str">
        <f>HYPERLINK("https://twitter.com/lanenadelpeine","@lanenadelpeine")</f>
        <v>@lanenadelpeine</v>
      </c>
      <c r="C1753" s="8" t="s">
        <v>6011</v>
      </c>
      <c r="D1753" s="9" t="s">
        <v>6012</v>
      </c>
      <c r="E1753" s="10" t="str">
        <f>HYPERLINK("https://twitter.com/lanenadelpeine/status/1069360410921500675","1069360410921500675")</f>
        <v>1069360410921500675</v>
      </c>
      <c r="F1753" s="12"/>
      <c r="G1753" s="12"/>
      <c r="H1753" s="12"/>
      <c r="I1753" s="13">
        <v>1</v>
      </c>
      <c r="J1753" s="13">
        <v>1</v>
      </c>
      <c r="K1753" s="14" t="str">
        <f t="shared" si="302"/>
        <v>Twitter for Android</v>
      </c>
      <c r="L1753" s="13">
        <v>447</v>
      </c>
      <c r="M1753" s="13">
        <v>610</v>
      </c>
      <c r="N1753" s="13">
        <v>2</v>
      </c>
      <c r="O1753" s="15"/>
      <c r="P1753" s="6">
        <v>42270.680879629625</v>
      </c>
      <c r="Q1753" s="16" t="s">
        <v>6013</v>
      </c>
      <c r="R1753" s="17" t="s">
        <v>6014</v>
      </c>
      <c r="S1753" s="12"/>
      <c r="T1753" s="12"/>
      <c r="U1753" s="10" t="str">
        <f>HYPERLINK("https://pbs.twimg.com/profile_images/971086119243796480/K4wFMldn.jpg","View")</f>
        <v>View</v>
      </c>
    </row>
    <row r="1754" spans="1:21" ht="13.2">
      <c r="A1754" s="6">
        <v>43436.985671296294</v>
      </c>
      <c r="B1754" s="7" t="str">
        <f>HYPERLINK("https://twitter.com/fredyyy35","@fredyyy35")</f>
        <v>@fredyyy35</v>
      </c>
      <c r="C1754" s="8" t="s">
        <v>6015</v>
      </c>
      <c r="D1754" s="9" t="s">
        <v>6016</v>
      </c>
      <c r="E1754" s="10" t="str">
        <f>HYPERLINK("https://twitter.com/fredyyy35/status/1069360402981691392","1069360402981691392")</f>
        <v>1069360402981691392</v>
      </c>
      <c r="F1754" s="12"/>
      <c r="G1754" s="12"/>
      <c r="H1754" s="12"/>
      <c r="I1754" s="13">
        <v>0</v>
      </c>
      <c r="J1754" s="13">
        <v>0</v>
      </c>
      <c r="K1754" s="14" t="str">
        <f t="shared" si="302"/>
        <v>Twitter for Android</v>
      </c>
      <c r="L1754" s="13">
        <v>327</v>
      </c>
      <c r="M1754" s="13">
        <v>2499</v>
      </c>
      <c r="N1754" s="13">
        <v>1</v>
      </c>
      <c r="O1754" s="15"/>
      <c r="P1754" s="6">
        <v>40614.259571759263</v>
      </c>
      <c r="Q1754" s="12"/>
      <c r="R1754" s="20"/>
      <c r="S1754" s="12"/>
      <c r="T1754" s="12"/>
      <c r="U1754" s="10" t="str">
        <f>HYPERLINK("https://pbs.twimg.com/profile_images/745209786724134912/LNd3k3Ql.jpg","View")</f>
        <v>View</v>
      </c>
    </row>
    <row r="1755" spans="1:21" ht="61.2">
      <c r="A1755" s="6">
        <v>43436.985613425924</v>
      </c>
      <c r="B1755" s="7" t="str">
        <f>HYPERLINK("https://twitter.com/latrincheraaudi","@latrincheraaudi")</f>
        <v>@latrincheraaudi</v>
      </c>
      <c r="C1755" s="8" t="s">
        <v>6017</v>
      </c>
      <c r="D1755" s="9" t="s">
        <v>6018</v>
      </c>
      <c r="E1755" s="10" t="str">
        <f>HYPERLINK("https://twitter.com/latrincheraaudi/status/1069360383931109378","1069360383931109378")</f>
        <v>1069360383931109378</v>
      </c>
      <c r="F1755" s="11" t="s">
        <v>4480</v>
      </c>
      <c r="G1755" s="12"/>
      <c r="H1755" s="12"/>
      <c r="I1755" s="13">
        <v>0</v>
      </c>
      <c r="J1755" s="13">
        <v>2</v>
      </c>
      <c r="K1755" s="14" t="str">
        <f t="shared" si="302"/>
        <v>Twitter for Android</v>
      </c>
      <c r="L1755" s="13">
        <v>2292</v>
      </c>
      <c r="M1755" s="13">
        <v>1840</v>
      </c>
      <c r="N1755" s="13">
        <v>25</v>
      </c>
      <c r="O1755" s="15"/>
      <c r="P1755" s="6">
        <v>40707.589282407411</v>
      </c>
      <c r="Q1755" s="16" t="s">
        <v>6019</v>
      </c>
      <c r="R1755" s="17" t="s">
        <v>6020</v>
      </c>
      <c r="S1755" s="12"/>
      <c r="T1755" s="12"/>
      <c r="U1755" s="10" t="str">
        <f>HYPERLINK("https://pbs.twimg.com/profile_images/1701971782/fernando_posterizado.jpg","View")</f>
        <v>View</v>
      </c>
    </row>
    <row r="1756" spans="1:21" ht="40.799999999999997">
      <c r="A1756" s="6">
        <v>43436.985451388886</v>
      </c>
      <c r="B1756" s="7" t="str">
        <f>HYPERLINK("https://twitter.com/nachogonar","@nachogonar")</f>
        <v>@nachogonar</v>
      </c>
      <c r="C1756" s="8" t="s">
        <v>6021</v>
      </c>
      <c r="D1756" s="9" t="s">
        <v>6022</v>
      </c>
      <c r="E1756" s="10" t="str">
        <f>HYPERLINK("https://twitter.com/nachogonar/status/1069360322354515968","1069360322354515968")</f>
        <v>1069360322354515968</v>
      </c>
      <c r="F1756" s="12"/>
      <c r="G1756" s="12"/>
      <c r="H1756" s="12"/>
      <c r="I1756" s="13">
        <v>0</v>
      </c>
      <c r="J1756" s="13">
        <v>0</v>
      </c>
      <c r="K1756" s="14" t="str">
        <f t="shared" si="302"/>
        <v>Twitter for Android</v>
      </c>
      <c r="L1756" s="13">
        <v>458</v>
      </c>
      <c r="M1756" s="13">
        <v>1220</v>
      </c>
      <c r="N1756" s="13">
        <v>17</v>
      </c>
      <c r="O1756" s="15"/>
      <c r="P1756" s="6">
        <v>40553.975370370368</v>
      </c>
      <c r="Q1756" s="16" t="s">
        <v>1455</v>
      </c>
      <c r="R1756" s="17" t="s">
        <v>6023</v>
      </c>
      <c r="S1756" s="12"/>
      <c r="T1756" s="12"/>
      <c r="U1756" s="10" t="str">
        <f>HYPERLINK("https://pbs.twimg.com/profile_images/932678881450000384/kuV1ySkV.jpg","View")</f>
        <v>View</v>
      </c>
    </row>
    <row r="1757" spans="1:21" ht="20.399999999999999">
      <c r="A1757" s="6">
        <v>43436.985393518524</v>
      </c>
      <c r="B1757" s="7" t="str">
        <f>HYPERLINK("https://twitter.com/cloddmc_","@cloddmc_")</f>
        <v>@cloddmc_</v>
      </c>
      <c r="C1757" s="8" t="s">
        <v>6024</v>
      </c>
      <c r="D1757" s="9" t="s">
        <v>6025</v>
      </c>
      <c r="E1757" s="10" t="str">
        <f>HYPERLINK("https://twitter.com/cloddmc_/status/1069360302565806082","1069360302565806082")</f>
        <v>1069360302565806082</v>
      </c>
      <c r="F1757" s="12"/>
      <c r="G1757" s="12"/>
      <c r="H1757" s="12"/>
      <c r="I1757" s="13">
        <v>0</v>
      </c>
      <c r="J1757" s="13">
        <v>1</v>
      </c>
      <c r="K1757" s="14" t="str">
        <f t="shared" si="302"/>
        <v>Twitter for Android</v>
      </c>
      <c r="L1757" s="13">
        <v>176</v>
      </c>
      <c r="M1757" s="13">
        <v>191</v>
      </c>
      <c r="N1757" s="13">
        <v>0</v>
      </c>
      <c r="O1757" s="15"/>
      <c r="P1757" s="6">
        <v>41156.997210648144</v>
      </c>
      <c r="Q1757" s="12"/>
      <c r="R1757" s="17" t="s">
        <v>6026</v>
      </c>
      <c r="S1757" s="12"/>
      <c r="T1757" s="12"/>
      <c r="U1757" s="10" t="str">
        <f>HYPERLINK("https://pbs.twimg.com/profile_images/1019560635733020673/oEhyUjjq.jpg","View")</f>
        <v>View</v>
      </c>
    </row>
    <row r="1758" spans="1:21" ht="30.6">
      <c r="A1758" s="6">
        <v>43436.985347222224</v>
      </c>
      <c r="B1758" s="7" t="str">
        <f>HYPERLINK("https://twitter.com/JonSForrest","@JonSForrest")</f>
        <v>@JonSForrest</v>
      </c>
      <c r="C1758" s="8" t="s">
        <v>6027</v>
      </c>
      <c r="D1758" s="9" t="s">
        <v>6028</v>
      </c>
      <c r="E1758" s="10" t="str">
        <f>HYPERLINK("https://twitter.com/JonSForrest/status/1069360283603349504","1069360283603349504")</f>
        <v>1069360283603349504</v>
      </c>
      <c r="F1758" s="12"/>
      <c r="G1758" s="12"/>
      <c r="H1758" s="12"/>
      <c r="I1758" s="13">
        <v>1</v>
      </c>
      <c r="J1758" s="13">
        <v>1</v>
      </c>
      <c r="K1758" s="14" t="str">
        <f>HYPERLINK("http://twitter.com/download/iphone","Twitter for iPhone")</f>
        <v>Twitter for iPhone</v>
      </c>
      <c r="L1758" s="13">
        <v>999</v>
      </c>
      <c r="M1758" s="13">
        <v>699</v>
      </c>
      <c r="N1758" s="13">
        <v>21</v>
      </c>
      <c r="O1758" s="15"/>
      <c r="P1758" s="6">
        <v>41005.980578703704</v>
      </c>
      <c r="Q1758" s="16" t="s">
        <v>6029</v>
      </c>
      <c r="R1758" s="17" t="s">
        <v>6030</v>
      </c>
      <c r="S1758" s="12"/>
      <c r="T1758" s="12"/>
      <c r="U1758" s="10" t="str">
        <f>HYPERLINK("https://pbs.twimg.com/profile_images/811127122785878016/iRb3J8AY.jpg","View")</f>
        <v>View</v>
      </c>
    </row>
    <row r="1759" spans="1:21" ht="40.799999999999997">
      <c r="A1759" s="6">
        <v>43436.985335648147</v>
      </c>
      <c r="B1759" s="7" t="str">
        <f>HYPERLINK("https://twitter.com/ibnussabel","@ibnussabel")</f>
        <v>@ibnussabel</v>
      </c>
      <c r="C1759" s="8" t="s">
        <v>6031</v>
      </c>
      <c r="D1759" s="9" t="s">
        <v>6032</v>
      </c>
      <c r="E1759" s="10" t="str">
        <f>HYPERLINK("https://twitter.com/ibnussabel/status/1069360281384566786","1069360281384566786")</f>
        <v>1069360281384566786</v>
      </c>
      <c r="F1759" s="12"/>
      <c r="G1759" s="12"/>
      <c r="H1759" s="12"/>
      <c r="I1759" s="13">
        <v>0</v>
      </c>
      <c r="J1759" s="13">
        <v>1</v>
      </c>
      <c r="K1759" s="14" t="str">
        <f t="shared" ref="K1759:K1760" si="303">HYPERLINK("http://twitter.com/download/android","Twitter for Android")</f>
        <v>Twitter for Android</v>
      </c>
      <c r="L1759" s="13">
        <v>1669</v>
      </c>
      <c r="M1759" s="13">
        <v>447</v>
      </c>
      <c r="N1759" s="13">
        <v>130</v>
      </c>
      <c r="O1759" s="15"/>
      <c r="P1759" s="6">
        <v>39595.962233796294</v>
      </c>
      <c r="Q1759" s="16" t="s">
        <v>6033</v>
      </c>
      <c r="R1759" s="17" t="s">
        <v>6034</v>
      </c>
      <c r="S1759" s="11" t="s">
        <v>6035</v>
      </c>
      <c r="T1759" s="12"/>
      <c r="U1759" s="10" t="str">
        <f>HYPERLINK("https://pbs.twimg.com/profile_images/971790909884026880/9FKc1OXQ.jpg","View")</f>
        <v>View</v>
      </c>
    </row>
    <row r="1760" spans="1:21" ht="40.799999999999997">
      <c r="A1760" s="6">
        <v>43436.985243055555</v>
      </c>
      <c r="B1760" s="7" t="str">
        <f>HYPERLINK("https://twitter.com/jgs4581val","@jgs4581val")</f>
        <v>@jgs4581val</v>
      </c>
      <c r="C1760" s="8" t="s">
        <v>2989</v>
      </c>
      <c r="D1760" s="9" t="s">
        <v>6036</v>
      </c>
      <c r="E1760" s="10" t="str">
        <f>HYPERLINK("https://twitter.com/jgs4581val/status/1069360247964426240","1069360247964426240")</f>
        <v>1069360247964426240</v>
      </c>
      <c r="F1760" s="12"/>
      <c r="G1760" s="12"/>
      <c r="H1760" s="12"/>
      <c r="I1760" s="13">
        <v>0</v>
      </c>
      <c r="J1760" s="13">
        <v>0</v>
      </c>
      <c r="K1760" s="14" t="str">
        <f t="shared" si="303"/>
        <v>Twitter for Android</v>
      </c>
      <c r="L1760" s="13">
        <v>6</v>
      </c>
      <c r="M1760" s="13">
        <v>7</v>
      </c>
      <c r="N1760" s="13">
        <v>0</v>
      </c>
      <c r="O1760" s="15"/>
      <c r="P1760" s="6">
        <v>41107.952719907407</v>
      </c>
      <c r="Q1760" s="12"/>
      <c r="R1760" s="20"/>
      <c r="S1760" s="12"/>
      <c r="T1760" s="12"/>
      <c r="U1760" s="19" t="s">
        <v>359</v>
      </c>
    </row>
    <row r="1761" spans="1:21" ht="51">
      <c r="A1761" s="6">
        <v>43436.985185185185</v>
      </c>
      <c r="B1761" s="7" t="str">
        <f>HYPERLINK("https://twitter.com/perendinador","@perendinador")</f>
        <v>@perendinador</v>
      </c>
      <c r="C1761" s="8" t="s">
        <v>6037</v>
      </c>
      <c r="D1761" s="9" t="s">
        <v>6038</v>
      </c>
      <c r="E1761" s="10" t="str">
        <f>HYPERLINK("https://twitter.com/perendinador/status/1069360228540563459","1069360228540563459")</f>
        <v>1069360228540563459</v>
      </c>
      <c r="F1761" s="12"/>
      <c r="G1761" s="12"/>
      <c r="H1761" s="12"/>
      <c r="I1761" s="13">
        <v>0</v>
      </c>
      <c r="J1761" s="13">
        <v>0</v>
      </c>
      <c r="K1761" s="14" t="str">
        <f>HYPERLINK("http://twitter.com","Twitter Web Client")</f>
        <v>Twitter Web Client</v>
      </c>
      <c r="L1761" s="13">
        <v>10</v>
      </c>
      <c r="M1761" s="13">
        <v>63</v>
      </c>
      <c r="N1761" s="13">
        <v>0</v>
      </c>
      <c r="O1761" s="15"/>
      <c r="P1761" s="6">
        <v>43397.778738425928</v>
      </c>
      <c r="Q1761" s="12"/>
      <c r="R1761" s="17" t="s">
        <v>6039</v>
      </c>
      <c r="S1761" s="12"/>
      <c r="T1761" s="12"/>
      <c r="U1761" s="10" t="str">
        <f>HYPERLINK("https://pbs.twimg.com/profile_images/1055138021262139392/wFD3ZAZD.jpg","View")</f>
        <v>View</v>
      </c>
    </row>
    <row r="1762" spans="1:21" ht="20.399999999999999">
      <c r="A1762" s="6">
        <v>43436.985046296293</v>
      </c>
      <c r="B1762" s="7" t="str">
        <f>HYPERLINK("https://twitter.com/JCuencaHerrero","@JCuencaHerrero")</f>
        <v>@JCuencaHerrero</v>
      </c>
      <c r="C1762" s="8" t="s">
        <v>6040</v>
      </c>
      <c r="D1762" s="9" t="s">
        <v>6041</v>
      </c>
      <c r="E1762" s="10" t="str">
        <f>HYPERLINK("https://twitter.com/JCuencaHerrero/status/1069360174933164034","1069360174933164034")</f>
        <v>1069360174933164034</v>
      </c>
      <c r="F1762" s="12"/>
      <c r="G1762" s="12"/>
      <c r="H1762" s="12"/>
      <c r="I1762" s="13">
        <v>0</v>
      </c>
      <c r="J1762" s="13">
        <v>0</v>
      </c>
      <c r="K1762" s="14" t="str">
        <f>HYPERLINK("http://twitter.com/download/iphone","Twitter for iPhone")</f>
        <v>Twitter for iPhone</v>
      </c>
      <c r="L1762" s="13">
        <v>116</v>
      </c>
      <c r="M1762" s="13">
        <v>479</v>
      </c>
      <c r="N1762" s="13">
        <v>0</v>
      </c>
      <c r="O1762" s="15"/>
      <c r="P1762" s="6">
        <v>40769.518078703702</v>
      </c>
      <c r="Q1762" s="16" t="s">
        <v>572</v>
      </c>
      <c r="R1762" s="20"/>
      <c r="S1762" s="12"/>
      <c r="T1762" s="12"/>
      <c r="U1762" s="10" t="str">
        <f>HYPERLINK("https://pbs.twimg.com/profile_images/3275157636/ff619a0ee78367d29f930b405ce20a42.jpeg","View")</f>
        <v>View</v>
      </c>
    </row>
    <row r="1763" spans="1:21" ht="30.6">
      <c r="A1763" s="6">
        <v>43436.985034722224</v>
      </c>
      <c r="B1763" s="7" t="str">
        <f>HYPERLINK("https://twitter.com/angelcalleja","@angelcalleja")</f>
        <v>@angelcalleja</v>
      </c>
      <c r="C1763" s="8" t="s">
        <v>6042</v>
      </c>
      <c r="D1763" s="9" t="s">
        <v>6043</v>
      </c>
      <c r="E1763" s="10" t="str">
        <f>HYPERLINK("https://twitter.com/angelcalleja/status/1069360171741323265","1069360171741323265")</f>
        <v>1069360171741323265</v>
      </c>
      <c r="F1763" s="12"/>
      <c r="G1763" s="12"/>
      <c r="H1763" s="12"/>
      <c r="I1763" s="13">
        <v>12</v>
      </c>
      <c r="J1763" s="13">
        <v>15</v>
      </c>
      <c r="K1763" s="14" t="str">
        <f>HYPERLINK("http://twitter.com/download/android","Twitter for Android")</f>
        <v>Twitter for Android</v>
      </c>
      <c r="L1763" s="13">
        <v>18727</v>
      </c>
      <c r="M1763" s="13">
        <v>842</v>
      </c>
      <c r="N1763" s="13">
        <v>830</v>
      </c>
      <c r="O1763" s="19" t="s">
        <v>44</v>
      </c>
      <c r="P1763" s="6">
        <v>40267.886759259258</v>
      </c>
      <c r="Q1763" s="16" t="s">
        <v>6044</v>
      </c>
      <c r="R1763" s="17" t="s">
        <v>6045</v>
      </c>
      <c r="S1763" s="12"/>
      <c r="T1763" s="12"/>
      <c r="U1763" s="10" t="str">
        <f>HYPERLINK("https://pbs.twimg.com/profile_images/1039566126013968385/1OECQxvv.jpg","View")</f>
        <v>View</v>
      </c>
    </row>
    <row r="1764" spans="1:21" ht="30.6">
      <c r="A1764" s="6">
        <v>43436.984965277778</v>
      </c>
      <c r="B1764" s="7" t="str">
        <f>HYPERLINK("https://twitter.com/Natt_Lalaland","@Natt_Lalaland")</f>
        <v>@Natt_Lalaland</v>
      </c>
      <c r="C1764" s="8" t="s">
        <v>6046</v>
      </c>
      <c r="D1764" s="9" t="s">
        <v>6047</v>
      </c>
      <c r="E1764" s="10" t="str">
        <f>HYPERLINK("https://twitter.com/Natt_Lalaland/status/1069360146919366660","1069360146919366660")</f>
        <v>1069360146919366660</v>
      </c>
      <c r="F1764" s="12"/>
      <c r="G1764" s="11" t="s">
        <v>6048</v>
      </c>
      <c r="H1764" s="12"/>
      <c r="I1764" s="13">
        <v>0</v>
      </c>
      <c r="J1764" s="13">
        <v>0</v>
      </c>
      <c r="K1764" s="14" t="str">
        <f>HYPERLINK("https://mobile.twitter.com","Twitter Lite")</f>
        <v>Twitter Lite</v>
      </c>
      <c r="L1764" s="13">
        <v>1193</v>
      </c>
      <c r="M1764" s="13">
        <v>1236</v>
      </c>
      <c r="N1764" s="13">
        <v>3</v>
      </c>
      <c r="O1764" s="15"/>
      <c r="P1764" s="6">
        <v>40560.658877314811</v>
      </c>
      <c r="Q1764" s="16" t="s">
        <v>6049</v>
      </c>
      <c r="R1764" s="17" t="s">
        <v>6050</v>
      </c>
      <c r="S1764" s="12"/>
      <c r="T1764" s="12"/>
      <c r="U1764" s="10" t="str">
        <f>HYPERLINK("https://pbs.twimg.com/profile_images/1062620861948149760/6qk3kUxe.jpg","View")</f>
        <v>View</v>
      </c>
    </row>
    <row r="1765" spans="1:21" ht="51">
      <c r="A1765" s="6">
        <v>43436.984930555554</v>
      </c>
      <c r="B1765" s="7" t="str">
        <f>HYPERLINK("https://twitter.com/belnomejunior","@belnomejunior")</f>
        <v>@belnomejunior</v>
      </c>
      <c r="C1765" s="8" t="s">
        <v>6051</v>
      </c>
      <c r="D1765" s="9" t="s">
        <v>6052</v>
      </c>
      <c r="E1765" s="10" t="str">
        <f>HYPERLINK("https://twitter.com/belnomejunior/status/1069360136458772482","1069360136458772482")</f>
        <v>1069360136458772482</v>
      </c>
      <c r="F1765" s="12"/>
      <c r="G1765" s="12"/>
      <c r="H1765" s="12"/>
      <c r="I1765" s="13">
        <v>0</v>
      </c>
      <c r="J1765" s="13">
        <v>0</v>
      </c>
      <c r="K1765" s="14" t="str">
        <f>HYPERLINK("http://twitter.com/download/android","Twitter for Android")</f>
        <v>Twitter for Android</v>
      </c>
      <c r="L1765" s="13">
        <v>36</v>
      </c>
      <c r="M1765" s="13">
        <v>98</v>
      </c>
      <c r="N1765" s="13">
        <v>0</v>
      </c>
      <c r="O1765" s="15"/>
      <c r="P1765" s="6">
        <v>40818.986145833333</v>
      </c>
      <c r="Q1765" s="12"/>
      <c r="R1765" s="20"/>
      <c r="S1765" s="12"/>
      <c r="T1765" s="12"/>
      <c r="U1765" s="10" t="str">
        <f>HYPERLINK("https://pbs.twimg.com/profile_images/1071378296057798656/Sk0EvUKK.jpg","View")</f>
        <v>View</v>
      </c>
    </row>
    <row r="1766" spans="1:21" ht="40.799999999999997">
      <c r="A1766" s="6">
        <v>43436.984907407408</v>
      </c>
      <c r="B1766" s="7" t="str">
        <f>HYPERLINK("https://twitter.com/rincon_lasexta","@rincon_lasexta")</f>
        <v>@rincon_lasexta</v>
      </c>
      <c r="C1766" s="8" t="s">
        <v>6053</v>
      </c>
      <c r="D1766" s="9" t="s">
        <v>6054</v>
      </c>
      <c r="E1766" s="10" t="str">
        <f>HYPERLINK("https://twitter.com/rincon_lasexta/status/1069360128057622531","1069360128057622531")</f>
        <v>1069360128057622531</v>
      </c>
      <c r="F1766" s="12"/>
      <c r="G1766" s="12"/>
      <c r="H1766" s="12"/>
      <c r="I1766" s="13">
        <v>0</v>
      </c>
      <c r="J1766" s="13">
        <v>1</v>
      </c>
      <c r="K1766" s="14" t="str">
        <f>HYPERLINK("http://twitter.com/#!/download/ipad","Twitter for iPad")</f>
        <v>Twitter for iPad</v>
      </c>
      <c r="L1766" s="13">
        <v>4367</v>
      </c>
      <c r="M1766" s="13">
        <v>810</v>
      </c>
      <c r="N1766" s="13">
        <v>95</v>
      </c>
      <c r="O1766" s="15"/>
      <c r="P1766" s="6">
        <v>40290.743391203701</v>
      </c>
      <c r="Q1766" s="16" t="s">
        <v>191</v>
      </c>
      <c r="R1766" s="17" t="s">
        <v>6055</v>
      </c>
      <c r="S1766" s="12"/>
      <c r="T1766" s="12"/>
      <c r="U1766" s="10" t="str">
        <f>HYPERLINK("https://pbs.twimg.com/profile_images/616718374375022592/9QC-O8fz.jpg","View")</f>
        <v>View</v>
      </c>
    </row>
    <row r="1767" spans="1:21" ht="20.399999999999999">
      <c r="A1767" s="6">
        <v>43436.984814814816</v>
      </c>
      <c r="B1767" s="7" t="str">
        <f>HYPERLINK("https://twitter.com/ElenaAc48","@ElenaAc48")</f>
        <v>@ElenaAc48</v>
      </c>
      <c r="C1767" s="8" t="s">
        <v>6056</v>
      </c>
      <c r="D1767" s="9" t="s">
        <v>6057</v>
      </c>
      <c r="E1767" s="10" t="str">
        <f>HYPERLINK("https://twitter.com/ElenaAc48/status/1069360092301148160","1069360092301148160")</f>
        <v>1069360092301148160</v>
      </c>
      <c r="F1767" s="12"/>
      <c r="G1767" s="12"/>
      <c r="H1767" s="12"/>
      <c r="I1767" s="13">
        <v>0</v>
      </c>
      <c r="J1767" s="13">
        <v>0</v>
      </c>
      <c r="K1767" s="14" t="str">
        <f t="shared" ref="K1767:K1768" si="304">HYPERLINK("http://twitter.com/download/android","Twitter for Android")</f>
        <v>Twitter for Android</v>
      </c>
      <c r="L1767" s="13">
        <v>600</v>
      </c>
      <c r="M1767" s="13">
        <v>362</v>
      </c>
      <c r="N1767" s="13">
        <v>4</v>
      </c>
      <c r="O1767" s="15"/>
      <c r="P1767" s="6">
        <v>40987.668576388889</v>
      </c>
      <c r="Q1767" s="16" t="s">
        <v>6058</v>
      </c>
      <c r="R1767" s="17" t="s">
        <v>6059</v>
      </c>
      <c r="S1767" s="11" t="s">
        <v>6060</v>
      </c>
      <c r="T1767" s="12"/>
      <c r="U1767" s="10" t="str">
        <f>HYPERLINK("https://pbs.twimg.com/profile_images/1070715071385534464/iQwyrVOx.jpg","View")</f>
        <v>View</v>
      </c>
    </row>
    <row r="1768" spans="1:21" ht="61.2">
      <c r="A1768" s="6">
        <v>43436.984803240739</v>
      </c>
      <c r="B1768" s="7" t="str">
        <f>HYPERLINK("https://twitter.com/nachomh1","@nachomh1")</f>
        <v>@nachomh1</v>
      </c>
      <c r="C1768" s="8" t="s">
        <v>6061</v>
      </c>
      <c r="D1768" s="9" t="s">
        <v>6062</v>
      </c>
      <c r="E1768" s="10" t="str">
        <f>HYPERLINK("https://twitter.com/nachomh1/status/1069360086546595842","1069360086546595842")</f>
        <v>1069360086546595842</v>
      </c>
      <c r="F1768" s="12"/>
      <c r="G1768" s="12"/>
      <c r="H1768" s="12"/>
      <c r="I1768" s="13">
        <v>0</v>
      </c>
      <c r="J1768" s="13">
        <v>0</v>
      </c>
      <c r="K1768" s="14" t="str">
        <f t="shared" si="304"/>
        <v>Twitter for Android</v>
      </c>
      <c r="L1768" s="13">
        <v>501</v>
      </c>
      <c r="M1768" s="13">
        <v>1569</v>
      </c>
      <c r="N1768" s="13">
        <v>54</v>
      </c>
      <c r="O1768" s="15"/>
      <c r="P1768" s="6">
        <v>40949.475868055553</v>
      </c>
      <c r="Q1768" s="16" t="s">
        <v>6063</v>
      </c>
      <c r="R1768" s="17" t="s">
        <v>6064</v>
      </c>
      <c r="S1768" s="11" t="s">
        <v>6065</v>
      </c>
      <c r="T1768" s="12"/>
      <c r="U1768" s="10" t="str">
        <f>HYPERLINK("https://pbs.twimg.com/profile_images/1047610496231362560/SKlZIDS_.jpg","View")</f>
        <v>View</v>
      </c>
    </row>
    <row r="1769" spans="1:21" ht="30.6">
      <c r="A1769" s="6">
        <v>43436.984768518523</v>
      </c>
      <c r="B1769" s="7" t="str">
        <f>HYPERLINK("https://twitter.com/ManoloGalban17","@ManoloGalban17")</f>
        <v>@ManoloGalban17</v>
      </c>
      <c r="C1769" s="8" t="s">
        <v>6066</v>
      </c>
      <c r="D1769" s="9" t="s">
        <v>6067</v>
      </c>
      <c r="E1769" s="10" t="str">
        <f>HYPERLINK("https://twitter.com/ManoloGalban17/status/1069360077105180672","1069360077105180672")</f>
        <v>1069360077105180672</v>
      </c>
      <c r="F1769" s="12"/>
      <c r="G1769" s="12"/>
      <c r="H1769" s="12"/>
      <c r="I1769" s="13">
        <v>0</v>
      </c>
      <c r="J1769" s="13">
        <v>1</v>
      </c>
      <c r="K1769" s="14" t="str">
        <f>HYPERLINK("http://twitter.com/download/iphone","Twitter for iPhone")</f>
        <v>Twitter for iPhone</v>
      </c>
      <c r="L1769" s="13">
        <v>150</v>
      </c>
      <c r="M1769" s="13">
        <v>157</v>
      </c>
      <c r="N1769" s="13">
        <v>0</v>
      </c>
      <c r="O1769" s="15"/>
      <c r="P1769" s="6">
        <v>41239.675752314812</v>
      </c>
      <c r="Q1769" s="12"/>
      <c r="R1769" s="20"/>
      <c r="S1769" s="12"/>
      <c r="T1769" s="12"/>
      <c r="U1769" s="10" t="str">
        <f>HYPERLINK("https://pbs.twimg.com/profile_images/3002439038/ce57676a571cdd52b9edd57c505a54b1.jpeg","View")</f>
        <v>View</v>
      </c>
    </row>
    <row r="1770" spans="1:21" ht="30.6">
      <c r="A1770" s="6">
        <v>43436.98474537037</v>
      </c>
      <c r="B1770" s="7" t="str">
        <f>HYPERLINK("https://twitter.com/madelarco","@madelarco")</f>
        <v>@madelarco</v>
      </c>
      <c r="C1770" s="8" t="s">
        <v>6068</v>
      </c>
      <c r="D1770" s="9" t="s">
        <v>6069</v>
      </c>
      <c r="E1770" s="10" t="str">
        <f>HYPERLINK("https://twitter.com/madelarco/status/1069360068506935297","1069360068506935297")</f>
        <v>1069360068506935297</v>
      </c>
      <c r="F1770" s="12"/>
      <c r="G1770" s="12"/>
      <c r="H1770" s="12"/>
      <c r="I1770" s="13">
        <v>0</v>
      </c>
      <c r="J1770" s="13">
        <v>1</v>
      </c>
      <c r="K1770" s="14" t="str">
        <f>HYPERLINK("http://twitter.com","Twitter Web Client")</f>
        <v>Twitter Web Client</v>
      </c>
      <c r="L1770" s="13">
        <v>290</v>
      </c>
      <c r="M1770" s="13">
        <v>229</v>
      </c>
      <c r="N1770" s="13">
        <v>20</v>
      </c>
      <c r="O1770" s="15"/>
      <c r="P1770" s="6">
        <v>40792.577256944445</v>
      </c>
      <c r="Q1770" s="16" t="s">
        <v>191</v>
      </c>
      <c r="R1770" s="17" t="s">
        <v>6070</v>
      </c>
      <c r="S1770" s="12"/>
      <c r="T1770" s="12"/>
      <c r="U1770" s="10" t="str">
        <f>HYPERLINK("https://pbs.twimg.com/profile_images/1532115514/vale_1.JPG","View")</f>
        <v>View</v>
      </c>
    </row>
    <row r="1771" spans="1:21" ht="40.799999999999997">
      <c r="A1771" s="6">
        <v>43436.984722222223</v>
      </c>
      <c r="B1771" s="7" t="str">
        <f>HYPERLINK("https://twitter.com/jatirado","@jatirado")</f>
        <v>@jatirado</v>
      </c>
      <c r="C1771" s="8" t="s">
        <v>188</v>
      </c>
      <c r="D1771" s="9" t="s">
        <v>5598</v>
      </c>
      <c r="E1771" s="10" t="str">
        <f>HYPERLINK("https://twitter.com/jatirado/status/1069360058134228992","1069360058134228992")</f>
        <v>1069360058134228992</v>
      </c>
      <c r="F1771" s="11" t="s">
        <v>6071</v>
      </c>
      <c r="G1771" s="11" t="s">
        <v>6072</v>
      </c>
      <c r="H1771" s="12"/>
      <c r="I1771" s="13">
        <v>3</v>
      </c>
      <c r="J1771" s="13">
        <v>4</v>
      </c>
      <c r="K1771" s="14" t="str">
        <f>HYPERLINK("https://dlvrit.com/","dlvr.it")</f>
        <v>dlvr.it</v>
      </c>
      <c r="L1771" s="13">
        <v>81545</v>
      </c>
      <c r="M1771" s="13">
        <v>49760</v>
      </c>
      <c r="N1771" s="13">
        <v>1030</v>
      </c>
      <c r="O1771" s="15"/>
      <c r="P1771" s="6">
        <v>40353.552581018521</v>
      </c>
      <c r="Q1771" s="16" t="s">
        <v>191</v>
      </c>
      <c r="R1771" s="17" t="s">
        <v>192</v>
      </c>
      <c r="S1771" s="11" t="s">
        <v>193</v>
      </c>
      <c r="T1771" s="12"/>
      <c r="U1771" s="10" t="str">
        <f>HYPERLINK("https://pbs.twimg.com/profile_images/485680559742791680/dg68o8vH.jpeg","View")</f>
        <v>View</v>
      </c>
    </row>
    <row r="1772" spans="1:21" ht="40.799999999999997">
      <c r="A1772" s="6">
        <v>43436.984699074077</v>
      </c>
      <c r="B1772" s="7" t="str">
        <f>HYPERLINK("https://twitter.com/javiercasalc","@javiercasalc")</f>
        <v>@javiercasalc</v>
      </c>
      <c r="C1772" s="8" t="s">
        <v>6073</v>
      </c>
      <c r="D1772" s="9" t="s">
        <v>6074</v>
      </c>
      <c r="E1772" s="10" t="str">
        <f>HYPERLINK("https://twitter.com/javiercasalc/status/1069360050567819264","1069360050567819264")</f>
        <v>1069360050567819264</v>
      </c>
      <c r="F1772" s="12"/>
      <c r="G1772" s="12"/>
      <c r="H1772" s="12"/>
      <c r="I1772" s="13">
        <v>0</v>
      </c>
      <c r="J1772" s="13">
        <v>0</v>
      </c>
      <c r="K1772" s="14" t="str">
        <f>HYPERLINK("http://twitter.com","Twitter Web Client")</f>
        <v>Twitter Web Client</v>
      </c>
      <c r="L1772" s="13">
        <v>852</v>
      </c>
      <c r="M1772" s="13">
        <v>644</v>
      </c>
      <c r="N1772" s="13">
        <v>32</v>
      </c>
      <c r="O1772" s="15"/>
      <c r="P1772" s="6">
        <v>40557.066238425927</v>
      </c>
      <c r="Q1772" s="16" t="s">
        <v>6075</v>
      </c>
      <c r="R1772" s="17" t="s">
        <v>6076</v>
      </c>
      <c r="S1772" s="11" t="s">
        <v>6077</v>
      </c>
      <c r="T1772" s="12"/>
      <c r="U1772" s="10" t="str">
        <f>HYPERLINK("https://pbs.twimg.com/profile_images/712698438689927168/QAnDSPH5.jpg","View")</f>
        <v>View</v>
      </c>
    </row>
    <row r="1773" spans="1:21" ht="30.6">
      <c r="A1773" s="6">
        <v>43436.984571759254</v>
      </c>
      <c r="B1773" s="7" t="str">
        <f>HYPERLINK("https://twitter.com/Cristina_2311","@Cristina_2311")</f>
        <v>@Cristina_2311</v>
      </c>
      <c r="C1773" s="8" t="s">
        <v>6078</v>
      </c>
      <c r="D1773" s="9" t="s">
        <v>6079</v>
      </c>
      <c r="E1773" s="10" t="str">
        <f>HYPERLINK("https://twitter.com/Cristina_2311/status/1069360003948138496","1069360003948138496")</f>
        <v>1069360003948138496</v>
      </c>
      <c r="F1773" s="12"/>
      <c r="G1773" s="12"/>
      <c r="H1773" s="12"/>
      <c r="I1773" s="13">
        <v>0</v>
      </c>
      <c r="J1773" s="13">
        <v>0</v>
      </c>
      <c r="K1773" s="14" t="str">
        <f>HYPERLINK("http://twitter.com/download/android","Twitter for Android")</f>
        <v>Twitter for Android</v>
      </c>
      <c r="L1773" s="13">
        <v>161</v>
      </c>
      <c r="M1773" s="13">
        <v>211</v>
      </c>
      <c r="N1773" s="13">
        <v>1</v>
      </c>
      <c r="O1773" s="15"/>
      <c r="P1773" s="6">
        <v>40385.987858796296</v>
      </c>
      <c r="Q1773" s="16" t="s">
        <v>191</v>
      </c>
      <c r="R1773" s="20"/>
      <c r="S1773" s="12"/>
      <c r="T1773" s="12"/>
      <c r="U1773" s="10" t="str">
        <f>HYPERLINK("https://pbs.twimg.com/profile_images/1044321522356293632/KvOHXLSN.jpg","View")</f>
        <v>View</v>
      </c>
    </row>
    <row r="1774" spans="1:21" ht="51">
      <c r="A1774" s="6">
        <v>43436.984525462962</v>
      </c>
      <c r="B1774" s="7" t="str">
        <f>HYPERLINK("https://twitter.com/plazaro67","@plazaro67")</f>
        <v>@plazaro67</v>
      </c>
      <c r="C1774" s="8" t="s">
        <v>6080</v>
      </c>
      <c r="D1774" s="9" t="s">
        <v>6081</v>
      </c>
      <c r="E1774" s="10" t="str">
        <f>HYPERLINK("https://twitter.com/plazaro67/status/1069359985933590528","1069359985933590528")</f>
        <v>1069359985933590528</v>
      </c>
      <c r="F1774" s="12"/>
      <c r="G1774" s="12"/>
      <c r="H1774" s="12"/>
      <c r="I1774" s="13">
        <v>0</v>
      </c>
      <c r="J1774" s="13">
        <v>0</v>
      </c>
      <c r="K1774" s="14" t="str">
        <f>HYPERLINK("http://twitter.com/download/iphone","Twitter for iPhone")</f>
        <v>Twitter for iPhone</v>
      </c>
      <c r="L1774" s="13">
        <v>2348</v>
      </c>
      <c r="M1774" s="13">
        <v>839</v>
      </c>
      <c r="N1774" s="13">
        <v>77</v>
      </c>
      <c r="O1774" s="15"/>
      <c r="P1774" s="6">
        <v>40620.719513888893</v>
      </c>
      <c r="Q1774" s="12"/>
      <c r="R1774" s="17" t="s">
        <v>6082</v>
      </c>
      <c r="S1774" s="11" t="s">
        <v>6083</v>
      </c>
      <c r="T1774" s="12"/>
      <c r="U1774" s="10" t="str">
        <f>HYPERLINK("https://pbs.twimg.com/profile_images/1060948572844244992/lVyOCBOG.jpg","View")</f>
        <v>View</v>
      </c>
    </row>
    <row r="1775" spans="1:21" ht="20.399999999999999">
      <c r="A1775" s="6">
        <v>43436.984490740739</v>
      </c>
      <c r="B1775" s="7" t="str">
        <f>HYPERLINK("https://twitter.com/Toni_Garcia_","@Toni_Garcia_")</f>
        <v>@Toni_Garcia_</v>
      </c>
      <c r="C1775" s="8" t="s">
        <v>6084</v>
      </c>
      <c r="D1775" s="9" t="s">
        <v>6085</v>
      </c>
      <c r="E1775" s="10" t="str">
        <f>HYPERLINK("https://twitter.com/Toni_Garcia_/status/1069359976249024512","1069359976249024512")</f>
        <v>1069359976249024512</v>
      </c>
      <c r="F1775" s="12"/>
      <c r="G1775" s="11" t="s">
        <v>6086</v>
      </c>
      <c r="H1775" s="12"/>
      <c r="I1775" s="13">
        <v>0</v>
      </c>
      <c r="J1775" s="13">
        <v>0</v>
      </c>
      <c r="K1775" s="14" t="str">
        <f t="shared" ref="K1775:K1776" si="305">HYPERLINK("http://twitter.com/download/android","Twitter for Android")</f>
        <v>Twitter for Android</v>
      </c>
      <c r="L1775" s="13">
        <v>1391</v>
      </c>
      <c r="M1775" s="13">
        <v>1500</v>
      </c>
      <c r="N1775" s="13">
        <v>30</v>
      </c>
      <c r="O1775" s="15"/>
      <c r="P1775" s="6">
        <v>40637.516631944447</v>
      </c>
      <c r="Q1775" s="16" t="s">
        <v>6087</v>
      </c>
      <c r="R1775" s="17" t="s">
        <v>6088</v>
      </c>
      <c r="S1775" s="12"/>
      <c r="T1775" s="12"/>
      <c r="U1775" s="10" t="str">
        <f>HYPERLINK("https://pbs.twimg.com/profile_images/602856135238922240/T_TMykEH.jpg","View")</f>
        <v>View</v>
      </c>
    </row>
    <row r="1776" spans="1:21" ht="51">
      <c r="A1776" s="6">
        <v>43436.984282407408</v>
      </c>
      <c r="B1776" s="7" t="str">
        <f>HYPERLINK("https://twitter.com/Almeriense99","@Almeriense99")</f>
        <v>@Almeriense99</v>
      </c>
      <c r="C1776" s="8" t="s">
        <v>6089</v>
      </c>
      <c r="D1776" s="9" t="s">
        <v>6090</v>
      </c>
      <c r="E1776" s="10" t="str">
        <f>HYPERLINK("https://twitter.com/Almeriense99/status/1069359898398478339","1069359898398478339")</f>
        <v>1069359898398478339</v>
      </c>
      <c r="F1776" s="12"/>
      <c r="G1776" s="12"/>
      <c r="H1776" s="12"/>
      <c r="I1776" s="13">
        <v>1</v>
      </c>
      <c r="J1776" s="13">
        <v>3</v>
      </c>
      <c r="K1776" s="14" t="str">
        <f t="shared" si="305"/>
        <v>Twitter for Android</v>
      </c>
      <c r="L1776" s="13">
        <v>469</v>
      </c>
      <c r="M1776" s="13">
        <v>741</v>
      </c>
      <c r="N1776" s="13">
        <v>5</v>
      </c>
      <c r="O1776" s="15"/>
      <c r="P1776" s="6">
        <v>41507.725162037037</v>
      </c>
      <c r="Q1776" s="16" t="s">
        <v>4057</v>
      </c>
      <c r="R1776" s="17" t="s">
        <v>6091</v>
      </c>
      <c r="S1776" s="12"/>
      <c r="T1776" s="12"/>
      <c r="U1776" s="10" t="str">
        <f>HYPERLINK("https://pbs.twimg.com/profile_images/1059224149699317762/sVccW8Pa.jpg","View")</f>
        <v>View</v>
      </c>
    </row>
    <row r="1777" spans="1:21" ht="30.6">
      <c r="A1777" s="6">
        <v>43436.984166666662</v>
      </c>
      <c r="B1777" s="7" t="str">
        <f>HYPERLINK("https://twitter.com/SilviaBqCb","@SilviaBqCb")</f>
        <v>@SilviaBqCb</v>
      </c>
      <c r="C1777" s="8" t="s">
        <v>6092</v>
      </c>
      <c r="D1777" s="9" t="s">
        <v>6093</v>
      </c>
      <c r="E1777" s="10" t="str">
        <f>HYPERLINK("https://twitter.com/SilviaBqCb/status/1069359855931191296","1069359855931191296")</f>
        <v>1069359855931191296</v>
      </c>
      <c r="F1777" s="12"/>
      <c r="G1777" s="12"/>
      <c r="H1777" s="12"/>
      <c r="I1777" s="13">
        <v>0</v>
      </c>
      <c r="J1777" s="13">
        <v>2</v>
      </c>
      <c r="K1777" s="14" t="str">
        <f>HYPERLINK("http://twitter.com/download/iphone","Twitter for iPhone")</f>
        <v>Twitter for iPhone</v>
      </c>
      <c r="L1777" s="13">
        <v>26</v>
      </c>
      <c r="M1777" s="13">
        <v>141</v>
      </c>
      <c r="N1777" s="13">
        <v>0</v>
      </c>
      <c r="O1777" s="15"/>
      <c r="P1777" s="6">
        <v>43037.477592592593</v>
      </c>
      <c r="Q1777" s="12"/>
      <c r="R1777" s="20"/>
      <c r="S1777" s="12"/>
      <c r="T1777" s="12"/>
      <c r="U1777" s="10" t="str">
        <f>HYPERLINK("https://pbs.twimg.com/profile_images/924610347201454082/iYtAmrCd.jpg","View")</f>
        <v>View</v>
      </c>
    </row>
    <row r="1778" spans="1:21" ht="40.799999999999997">
      <c r="A1778" s="6">
        <v>43436.984085648146</v>
      </c>
      <c r="B1778" s="7" t="str">
        <f>HYPERLINK("https://twitter.com/eeCharmander","@eeCharmander")</f>
        <v>@eeCharmander</v>
      </c>
      <c r="C1778" s="8" t="s">
        <v>6094</v>
      </c>
      <c r="D1778" s="9" t="s">
        <v>6095</v>
      </c>
      <c r="E1778" s="10" t="str">
        <f>HYPERLINK("https://twitter.com/eeCharmander/status/1069359827737022465","1069359827737022465")</f>
        <v>1069359827737022465</v>
      </c>
      <c r="F1778" s="12"/>
      <c r="G1778" s="12"/>
      <c r="H1778" s="12"/>
      <c r="I1778" s="13">
        <v>0</v>
      </c>
      <c r="J1778" s="13">
        <v>1</v>
      </c>
      <c r="K1778" s="14" t="str">
        <f>HYPERLINK("https://mobile.twitter.com","Twitter Lite")</f>
        <v>Twitter Lite</v>
      </c>
      <c r="L1778" s="13">
        <v>164</v>
      </c>
      <c r="M1778" s="13">
        <v>592</v>
      </c>
      <c r="N1778" s="13">
        <v>2</v>
      </c>
      <c r="O1778" s="15"/>
      <c r="P1778" s="6">
        <v>40677.598009259258</v>
      </c>
      <c r="Q1778" s="16" t="s">
        <v>6096</v>
      </c>
      <c r="R1778" s="17" t="s">
        <v>6097</v>
      </c>
      <c r="S1778" s="11" t="s">
        <v>6098</v>
      </c>
      <c r="T1778" s="12"/>
      <c r="U1778" s="10" t="str">
        <f>HYPERLINK("https://pbs.twimg.com/profile_images/1032755413953986561/zwiK0ugW.jpg","View")</f>
        <v>View</v>
      </c>
    </row>
    <row r="1779" spans="1:21" ht="30.6">
      <c r="A1779" s="6">
        <v>43436.984074074076</v>
      </c>
      <c r="B1779" s="7" t="str">
        <f>HYPERLINK("https://twitter.com/BorjaGB_Atm","@BorjaGB_Atm")</f>
        <v>@BorjaGB_Atm</v>
      </c>
      <c r="C1779" s="8" t="s">
        <v>6099</v>
      </c>
      <c r="D1779" s="9" t="s">
        <v>6100</v>
      </c>
      <c r="E1779" s="10" t="str">
        <f>HYPERLINK("https://twitter.com/BorjaGB_Atm/status/1069359826327736320","1069359826327736320")</f>
        <v>1069359826327736320</v>
      </c>
      <c r="F1779" s="12"/>
      <c r="G1779" s="12"/>
      <c r="H1779" s="12"/>
      <c r="I1779" s="13">
        <v>0</v>
      </c>
      <c r="J1779" s="13">
        <v>1</v>
      </c>
      <c r="K1779" s="14" t="str">
        <f>HYPERLINK("http://twitter.com","Twitter Web Client")</f>
        <v>Twitter Web Client</v>
      </c>
      <c r="L1779" s="13">
        <v>102</v>
      </c>
      <c r="M1779" s="13">
        <v>362</v>
      </c>
      <c r="N1779" s="13">
        <v>0</v>
      </c>
      <c r="O1779" s="15"/>
      <c r="P1779" s="6">
        <v>42796.536875000005</v>
      </c>
      <c r="Q1779" s="16" t="s">
        <v>30</v>
      </c>
      <c r="R1779" s="17" t="s">
        <v>6101</v>
      </c>
      <c r="S1779" s="12"/>
      <c r="T1779" s="12"/>
      <c r="U1779" s="10" t="str">
        <f>HYPERLINK("https://pbs.twimg.com/profile_images/837273198941114368/8-6xSX3m.jpg","View")</f>
        <v>View</v>
      </c>
    </row>
    <row r="1780" spans="1:21" ht="30.6">
      <c r="A1780" s="6">
        <v>43436.984074074076</v>
      </c>
      <c r="B1780" s="7" t="str">
        <f>HYPERLINK("https://twitter.com/loladall","@loladall")</f>
        <v>@loladall</v>
      </c>
      <c r="C1780" s="8" t="s">
        <v>6102</v>
      </c>
      <c r="D1780" s="9" t="s">
        <v>6103</v>
      </c>
      <c r="E1780" s="10" t="str">
        <f>HYPERLINK("https://twitter.com/loladall/status/1069359822280245249","1069359822280245249")</f>
        <v>1069359822280245249</v>
      </c>
      <c r="F1780" s="12"/>
      <c r="G1780" s="12"/>
      <c r="H1780" s="12"/>
      <c r="I1780" s="13">
        <v>0</v>
      </c>
      <c r="J1780" s="13">
        <v>1</v>
      </c>
      <c r="K1780" s="14" t="str">
        <f>HYPERLINK("http://twitter.com/download/android","Twitter for Android")</f>
        <v>Twitter for Android</v>
      </c>
      <c r="L1780" s="13">
        <v>760</v>
      </c>
      <c r="M1780" s="13">
        <v>514</v>
      </c>
      <c r="N1780" s="13">
        <v>13</v>
      </c>
      <c r="O1780" s="15"/>
      <c r="P1780" s="6">
        <v>40798.587152777778</v>
      </c>
      <c r="Q1780" s="16" t="s">
        <v>6104</v>
      </c>
      <c r="R1780" s="17" t="s">
        <v>6105</v>
      </c>
      <c r="S1780" s="12"/>
      <c r="T1780" s="12"/>
      <c r="U1780" s="10" t="str">
        <f>HYPERLINK("https://pbs.twimg.com/profile_images/1044586747135315979/sgIq_bPa.jpg","View")</f>
        <v>View</v>
      </c>
    </row>
    <row r="1781" spans="1:21" ht="30.6">
      <c r="A1781" s="6">
        <v>43436.984039351853</v>
      </c>
      <c r="B1781" s="7" t="str">
        <f>HYPERLINK("https://twitter.com/mendezbarrero52","@mendezbarrero52")</f>
        <v>@mendezbarrero52</v>
      </c>
      <c r="C1781" s="8" t="s">
        <v>4892</v>
      </c>
      <c r="D1781" s="9" t="s">
        <v>6106</v>
      </c>
      <c r="E1781" s="10" t="str">
        <f>HYPERLINK("https://twitter.com/mendezbarrero52/status/1069359809575747584","1069359809575747584")</f>
        <v>1069359809575747584</v>
      </c>
      <c r="F1781" s="12"/>
      <c r="G1781" s="12"/>
      <c r="H1781" s="12"/>
      <c r="I1781" s="13">
        <v>0</v>
      </c>
      <c r="J1781" s="13">
        <v>0</v>
      </c>
      <c r="K1781" s="14" t="str">
        <f>HYPERLINK("http://www.samruston.co.uk","Flamingo for Android")</f>
        <v>Flamingo for Android</v>
      </c>
      <c r="L1781" s="13">
        <v>1536</v>
      </c>
      <c r="M1781" s="13">
        <v>2062</v>
      </c>
      <c r="N1781" s="13">
        <v>10</v>
      </c>
      <c r="O1781" s="15"/>
      <c r="P1781" s="6">
        <v>41630.812476851854</v>
      </c>
      <c r="Q1781" s="16" t="s">
        <v>572</v>
      </c>
      <c r="R1781" s="17" t="s">
        <v>6107</v>
      </c>
      <c r="S1781" s="12"/>
      <c r="T1781" s="12"/>
      <c r="U1781" s="10" t="str">
        <f>HYPERLINK("https://pbs.twimg.com/profile_images/629724434493014020/h5-thTf7.jpg","View")</f>
        <v>View</v>
      </c>
    </row>
    <row r="1782" spans="1:21" ht="30.6">
      <c r="A1782" s="6">
        <v>43436.984027777777</v>
      </c>
      <c r="B1782" s="7" t="str">
        <f>HYPERLINK("https://twitter.com/joseluisandres","@joseluisandres")</f>
        <v>@joseluisandres</v>
      </c>
      <c r="C1782" s="8" t="s">
        <v>6108</v>
      </c>
      <c r="D1782" s="9" t="s">
        <v>6109</v>
      </c>
      <c r="E1782" s="10" t="str">
        <f>HYPERLINK("https://twitter.com/joseluisandres/status/1069359807923200007","1069359807923200007")</f>
        <v>1069359807923200007</v>
      </c>
      <c r="F1782" s="12"/>
      <c r="G1782" s="12"/>
      <c r="H1782" s="12"/>
      <c r="I1782" s="13">
        <v>0</v>
      </c>
      <c r="J1782" s="13">
        <v>0</v>
      </c>
      <c r="K1782" s="14" t="str">
        <f>HYPERLINK("http://twitter.com/download/iphone","Twitter for iPhone")</f>
        <v>Twitter for iPhone</v>
      </c>
      <c r="L1782" s="13">
        <v>2326</v>
      </c>
      <c r="M1782" s="13">
        <v>2618</v>
      </c>
      <c r="N1782" s="13">
        <v>109</v>
      </c>
      <c r="O1782" s="15"/>
      <c r="P1782" s="6">
        <v>40537.882592592592</v>
      </c>
      <c r="Q1782" s="16" t="s">
        <v>353</v>
      </c>
      <c r="R1782" s="17" t="s">
        <v>6110</v>
      </c>
      <c r="S1782" s="12"/>
      <c r="T1782" s="12"/>
      <c r="U1782" s="10" t="str">
        <f>HYPERLINK("https://pbs.twimg.com/profile_images/1070765652758138881/KVo3nts0.jpg","View")</f>
        <v>View</v>
      </c>
    </row>
    <row r="1783" spans="1:21" ht="20.399999999999999">
      <c r="A1783" s="6">
        <v>43436.983854166669</v>
      </c>
      <c r="B1783" s="7" t="str">
        <f>HYPERLINK("https://twitter.com/Deyaled","@Deyaled")</f>
        <v>@Deyaled</v>
      </c>
      <c r="C1783" s="8" t="s">
        <v>6111</v>
      </c>
      <c r="D1783" s="27" t="s">
        <v>6112</v>
      </c>
      <c r="E1783" s="10" t="str">
        <f>HYPERLINK("https://twitter.com/Deyaled/status/1069359745570615296","1069359745570615296")</f>
        <v>1069359745570615296</v>
      </c>
      <c r="F1783" s="12"/>
      <c r="G1783" s="12"/>
      <c r="H1783" s="12"/>
      <c r="I1783" s="13">
        <v>2</v>
      </c>
      <c r="J1783" s="13">
        <v>7</v>
      </c>
      <c r="K1783" s="14" t="str">
        <f>HYPERLINK("https://about.twitter.com/products/tweetdeck","TweetDeck")</f>
        <v>TweetDeck</v>
      </c>
      <c r="L1783" s="13">
        <v>10398</v>
      </c>
      <c r="M1783" s="13">
        <v>283</v>
      </c>
      <c r="N1783" s="13">
        <v>147</v>
      </c>
      <c r="O1783" s="15"/>
      <c r="P1783" s="6">
        <v>41983.781342592592</v>
      </c>
      <c r="Q1783" s="16" t="s">
        <v>6113</v>
      </c>
      <c r="R1783" s="28" t="s">
        <v>6114</v>
      </c>
      <c r="S1783" s="12"/>
      <c r="T1783" s="12"/>
      <c r="U1783" s="10" t="str">
        <f>HYPERLINK("https://pbs.twimg.com/profile_images/736873193743474688/aqy4qJ1a.jpg","View")</f>
        <v>View</v>
      </c>
    </row>
    <row r="1784" spans="1:21" ht="20.399999999999999">
      <c r="A1784" s="6">
        <v>43436.983854166669</v>
      </c>
      <c r="B1784" s="7" t="str">
        <f>HYPERLINK("https://twitter.com/dolphinriot","@dolphinriot")</f>
        <v>@dolphinriot</v>
      </c>
      <c r="C1784" s="8" t="s">
        <v>6115</v>
      </c>
      <c r="D1784" s="9" t="s">
        <v>6116</v>
      </c>
      <c r="E1784" s="10" t="str">
        <f>HYPERLINK("https://twitter.com/dolphinriot/status/1069359745428045824","1069359745428045824")</f>
        <v>1069359745428045824</v>
      </c>
      <c r="F1784" s="12"/>
      <c r="G1784" s="12"/>
      <c r="H1784" s="12"/>
      <c r="I1784" s="13">
        <v>0</v>
      </c>
      <c r="J1784" s="13">
        <v>0</v>
      </c>
      <c r="K1784" s="14" t="str">
        <f>HYPERLINK("http://twitter.com/download/android","Twitter for Android")</f>
        <v>Twitter for Android</v>
      </c>
      <c r="L1784" s="13">
        <v>819</v>
      </c>
      <c r="M1784" s="13">
        <v>438</v>
      </c>
      <c r="N1784" s="13">
        <v>32</v>
      </c>
      <c r="O1784" s="15"/>
      <c r="P1784" s="6">
        <v>40087.20453703704</v>
      </c>
      <c r="Q1784" s="12"/>
      <c r="R1784" s="17" t="s">
        <v>6117</v>
      </c>
      <c r="S1784" s="12"/>
      <c r="T1784" s="12"/>
      <c r="U1784" s="10" t="str">
        <f>HYPERLINK("https://pbs.twimg.com/profile_images/1066434352496762880/8W7XfYgG.jpg","View")</f>
        <v>View</v>
      </c>
    </row>
    <row r="1785" spans="1:21" ht="40.799999999999997">
      <c r="A1785" s="6">
        <v>43436.983831018515</v>
      </c>
      <c r="B1785" s="7" t="str">
        <f>HYPERLINK("https://twitter.com/balsalopez","@balsalopez")</f>
        <v>@balsalopez</v>
      </c>
      <c r="C1785" s="8" t="s">
        <v>6118</v>
      </c>
      <c r="D1785" s="9" t="s">
        <v>6119</v>
      </c>
      <c r="E1785" s="10" t="str">
        <f>HYPERLINK("https://twitter.com/balsalopez/status/1069359737676972033","1069359737676972033")</f>
        <v>1069359737676972033</v>
      </c>
      <c r="F1785" s="12"/>
      <c r="G1785" s="12"/>
      <c r="H1785" s="12"/>
      <c r="I1785" s="13">
        <v>1</v>
      </c>
      <c r="J1785" s="13">
        <v>2</v>
      </c>
      <c r="K1785" s="14" t="str">
        <f>HYPERLINK("http://twitter.com/download/iphone","Twitter for iPhone")</f>
        <v>Twitter for iPhone</v>
      </c>
      <c r="L1785" s="13">
        <v>307</v>
      </c>
      <c r="M1785" s="13">
        <v>255</v>
      </c>
      <c r="N1785" s="13">
        <v>8</v>
      </c>
      <c r="O1785" s="15"/>
      <c r="P1785" s="6">
        <v>41266.082083333335</v>
      </c>
      <c r="Q1785" s="16" t="s">
        <v>191</v>
      </c>
      <c r="R1785" s="17" t="s">
        <v>6120</v>
      </c>
      <c r="S1785" s="12"/>
      <c r="T1785" s="12"/>
      <c r="U1785" s="10" t="str">
        <f>HYPERLINK("https://pbs.twimg.com/profile_images/3008471057/c959431bdf26475b4d92ddd5e369dbe2.jpeg","View")</f>
        <v>View</v>
      </c>
    </row>
    <row r="1786" spans="1:21" ht="40.799999999999997">
      <c r="A1786" s="6">
        <v>43436.983726851853</v>
      </c>
      <c r="B1786" s="7" t="str">
        <f>HYPERLINK("https://twitter.com/ellatigo_","@ellatigo_")</f>
        <v>@ellatigo_</v>
      </c>
      <c r="C1786" s="8" t="s">
        <v>6121</v>
      </c>
      <c r="D1786" s="9" t="s">
        <v>6122</v>
      </c>
      <c r="E1786" s="10" t="str">
        <f>HYPERLINK("https://twitter.com/ellatigo_/status/1069359700154740736","1069359700154740736")</f>
        <v>1069359700154740736</v>
      </c>
      <c r="F1786" s="12"/>
      <c r="G1786" s="12"/>
      <c r="H1786" s="12"/>
      <c r="I1786" s="13">
        <v>10</v>
      </c>
      <c r="J1786" s="13">
        <v>10</v>
      </c>
      <c r="K1786" s="14" t="str">
        <f>HYPERLINK("http://twitter.com/download/android","Twitter for Android")</f>
        <v>Twitter for Android</v>
      </c>
      <c r="L1786" s="13">
        <v>73</v>
      </c>
      <c r="M1786" s="13">
        <v>89</v>
      </c>
      <c r="N1786" s="13">
        <v>0</v>
      </c>
      <c r="O1786" s="15"/>
      <c r="P1786" s="6">
        <v>43413.509826388894</v>
      </c>
      <c r="Q1786" s="12"/>
      <c r="R1786" s="17" t="s">
        <v>6123</v>
      </c>
      <c r="S1786" s="12"/>
      <c r="T1786" s="12"/>
      <c r="U1786" s="10" t="str">
        <f>HYPERLINK("https://pbs.twimg.com/profile_images/1061989922855419904/TfpMy7-P.jpg","View")</f>
        <v>View</v>
      </c>
    </row>
    <row r="1787" spans="1:21" ht="40.799999999999997">
      <c r="A1787" s="6">
        <v>43436.983726851853</v>
      </c>
      <c r="B1787" s="7" t="str">
        <f>HYPERLINK("https://twitter.com/sasio_alc","@sasio_alc")</f>
        <v>@sasio_alc</v>
      </c>
      <c r="C1787" s="8" t="s">
        <v>6124</v>
      </c>
      <c r="D1787" s="9" t="s">
        <v>6125</v>
      </c>
      <c r="E1787" s="10" t="str">
        <f>HYPERLINK("https://twitter.com/sasio_alc/status/1069359697701027840","1069359697701027840")</f>
        <v>1069359697701027840</v>
      </c>
      <c r="F1787" s="12"/>
      <c r="G1787" s="12"/>
      <c r="H1787" s="12"/>
      <c r="I1787" s="13">
        <v>0</v>
      </c>
      <c r="J1787" s="13">
        <v>0</v>
      </c>
      <c r="K1787" s="14" t="str">
        <f t="shared" ref="K1787:K1788" si="306">HYPERLINK("http://twitter.com/download/iphone","Twitter for iPhone")</f>
        <v>Twitter for iPhone</v>
      </c>
      <c r="L1787" s="13">
        <v>310</v>
      </c>
      <c r="M1787" s="13">
        <v>548</v>
      </c>
      <c r="N1787" s="13">
        <v>11</v>
      </c>
      <c r="O1787" s="15"/>
      <c r="P1787" s="6">
        <v>40563.703217592592</v>
      </c>
      <c r="Q1787" s="12"/>
      <c r="R1787" s="17" t="s">
        <v>6126</v>
      </c>
      <c r="S1787" s="12"/>
      <c r="T1787" s="12"/>
      <c r="U1787" s="10" t="str">
        <f>HYPERLINK("https://pbs.twimg.com/profile_images/3578180530/d54db0fa6266af5f781dbae220dd4e19.jpeg","View")</f>
        <v>View</v>
      </c>
    </row>
    <row r="1788" spans="1:21" ht="20.399999999999999">
      <c r="A1788" s="6">
        <v>43436.983680555553</v>
      </c>
      <c r="B1788" s="7" t="str">
        <f>HYPERLINK("https://twitter.com/patrinm19","@patrinm19")</f>
        <v>@patrinm19</v>
      </c>
      <c r="C1788" s="8" t="s">
        <v>6127</v>
      </c>
      <c r="D1788" s="9" t="s">
        <v>6128</v>
      </c>
      <c r="E1788" s="10" t="str">
        <f>HYPERLINK("https://twitter.com/patrinm19/status/1069359682828013569","1069359682828013569")</f>
        <v>1069359682828013569</v>
      </c>
      <c r="F1788" s="12"/>
      <c r="G1788" s="12"/>
      <c r="H1788" s="12"/>
      <c r="I1788" s="13">
        <v>0</v>
      </c>
      <c r="J1788" s="13">
        <v>1</v>
      </c>
      <c r="K1788" s="14" t="str">
        <f t="shared" si="306"/>
        <v>Twitter for iPhone</v>
      </c>
      <c r="L1788" s="13">
        <v>519</v>
      </c>
      <c r="M1788" s="13">
        <v>301</v>
      </c>
      <c r="N1788" s="13">
        <v>4</v>
      </c>
      <c r="O1788" s="15"/>
      <c r="P1788" s="6">
        <v>41539.914050925923</v>
      </c>
      <c r="Q1788" s="16" t="s">
        <v>6129</v>
      </c>
      <c r="R1788" s="17" t="s">
        <v>6130</v>
      </c>
      <c r="S1788" s="11" t="s">
        <v>6131</v>
      </c>
      <c r="T1788" s="12"/>
      <c r="U1788" s="10" t="str">
        <f>HYPERLINK("https://pbs.twimg.com/profile_images/959403676833107972/xQN6SGag.jpg","View")</f>
        <v>View</v>
      </c>
    </row>
    <row r="1789" spans="1:21" ht="13.2">
      <c r="A1789" s="6">
        <v>43436.983668981484</v>
      </c>
      <c r="B1789" s="7" t="str">
        <f>HYPERLINK("https://twitter.com/MJRojo73","@MJRojo73")</f>
        <v>@MJRojo73</v>
      </c>
      <c r="C1789" s="8" t="s">
        <v>6132</v>
      </c>
      <c r="D1789" s="9" t="s">
        <v>6133</v>
      </c>
      <c r="E1789" s="10" t="str">
        <f>HYPERLINK("https://twitter.com/MJRojo73/status/1069359678675660805","1069359678675660805")</f>
        <v>1069359678675660805</v>
      </c>
      <c r="F1789" s="12"/>
      <c r="G1789" s="12"/>
      <c r="H1789" s="12"/>
      <c r="I1789" s="13">
        <v>0</v>
      </c>
      <c r="J1789" s="13">
        <v>0</v>
      </c>
      <c r="K1789" s="14" t="str">
        <f t="shared" ref="K1789:K1791" si="307">HYPERLINK("http://twitter.com/download/android","Twitter for Android")</f>
        <v>Twitter for Android</v>
      </c>
      <c r="L1789" s="13">
        <v>33</v>
      </c>
      <c r="M1789" s="13">
        <v>101</v>
      </c>
      <c r="N1789" s="13">
        <v>0</v>
      </c>
      <c r="O1789" s="15"/>
      <c r="P1789" s="6">
        <v>42323.922314814816</v>
      </c>
      <c r="Q1789" s="16" t="s">
        <v>2838</v>
      </c>
      <c r="R1789" s="20"/>
      <c r="S1789" s="12"/>
      <c r="T1789" s="12"/>
      <c r="U1789" s="10" t="str">
        <f>HYPERLINK("https://pbs.twimg.com/profile_images/1022898624332685312/34vrtzKO.jpg","View")</f>
        <v>View</v>
      </c>
    </row>
    <row r="1790" spans="1:21" ht="30.6">
      <c r="A1790" s="6">
        <v>43436.983657407407</v>
      </c>
      <c r="B1790" s="7" t="str">
        <f>HYPERLINK("https://twitter.com/JuanCar09825733","@JuanCar09825733")</f>
        <v>@JuanCar09825733</v>
      </c>
      <c r="C1790" s="8" t="s">
        <v>3174</v>
      </c>
      <c r="D1790" s="9" t="s">
        <v>6134</v>
      </c>
      <c r="E1790" s="10" t="str">
        <f>HYPERLINK("https://twitter.com/JuanCar09825733/status/1069359673487302656","1069359673487302656")</f>
        <v>1069359673487302656</v>
      </c>
      <c r="F1790" s="12"/>
      <c r="G1790" s="12"/>
      <c r="H1790" s="12"/>
      <c r="I1790" s="13">
        <v>0</v>
      </c>
      <c r="J1790" s="13">
        <v>0</v>
      </c>
      <c r="K1790" s="14" t="str">
        <f t="shared" si="307"/>
        <v>Twitter for Android</v>
      </c>
      <c r="L1790" s="13">
        <v>167</v>
      </c>
      <c r="M1790" s="13">
        <v>411</v>
      </c>
      <c r="N1790" s="13">
        <v>3</v>
      </c>
      <c r="O1790" s="15"/>
      <c r="P1790" s="6">
        <v>42901.929143518515</v>
      </c>
      <c r="Q1790" s="16" t="s">
        <v>6135</v>
      </c>
      <c r="R1790" s="17" t="s">
        <v>6136</v>
      </c>
      <c r="S1790" s="12"/>
      <c r="T1790" s="12"/>
      <c r="U1790" s="10" t="str">
        <f>HYPERLINK("https://pbs.twimg.com/profile_images/880062816987828224/7aXzdogo.jpg","View")</f>
        <v>View</v>
      </c>
    </row>
    <row r="1791" spans="1:21" ht="30.6">
      <c r="A1791" s="6">
        <v>43436.98364583333</v>
      </c>
      <c r="B1791" s="7" t="str">
        <f>HYPERLINK("https://twitter.com/Birra__Moretti","@Birra__Moretti")</f>
        <v>@Birra__Moretti</v>
      </c>
      <c r="C1791" s="8" t="s">
        <v>6137</v>
      </c>
      <c r="D1791" s="9" t="s">
        <v>6138</v>
      </c>
      <c r="E1791" s="10" t="str">
        <f>HYPERLINK("https://twitter.com/Birra__Moretti/status/1069359669540528129","1069359669540528129")</f>
        <v>1069359669540528129</v>
      </c>
      <c r="F1791" s="12"/>
      <c r="G1791" s="12"/>
      <c r="H1791" s="12"/>
      <c r="I1791" s="13">
        <v>0</v>
      </c>
      <c r="J1791" s="13">
        <v>0</v>
      </c>
      <c r="K1791" s="14" t="str">
        <f t="shared" si="307"/>
        <v>Twitter for Android</v>
      </c>
      <c r="L1791" s="13">
        <v>29</v>
      </c>
      <c r="M1791" s="13">
        <v>67</v>
      </c>
      <c r="N1791" s="13">
        <v>0</v>
      </c>
      <c r="O1791" s="15"/>
      <c r="P1791" s="6">
        <v>43391.984398148154</v>
      </c>
      <c r="Q1791" s="12"/>
      <c r="R1791" s="17" t="s">
        <v>6139</v>
      </c>
      <c r="S1791" s="12"/>
      <c r="T1791" s="12"/>
      <c r="U1791" s="10" t="str">
        <f>HYPERLINK("https://pbs.twimg.com/profile_images/1068190753057329152/PxxjjK_z.jpg","View")</f>
        <v>View</v>
      </c>
    </row>
    <row r="1792" spans="1:21" ht="40.799999999999997">
      <c r="A1792" s="6">
        <v>43436.983611111107</v>
      </c>
      <c r="B1792" s="7" t="str">
        <f>HYPERLINK("https://twitter.com/marionazugasti","@marionazugasti")</f>
        <v>@marionazugasti</v>
      </c>
      <c r="C1792" s="8" t="s">
        <v>6140</v>
      </c>
      <c r="D1792" s="9" t="s">
        <v>6141</v>
      </c>
      <c r="E1792" s="10" t="str">
        <f>HYPERLINK("https://twitter.com/marionazugasti/status/1069359655728619527","1069359655728619527")</f>
        <v>1069359655728619527</v>
      </c>
      <c r="F1792" s="12"/>
      <c r="G1792" s="12"/>
      <c r="H1792" s="12"/>
      <c r="I1792" s="13">
        <v>0</v>
      </c>
      <c r="J1792" s="13">
        <v>2</v>
      </c>
      <c r="K1792" s="14" t="str">
        <f>HYPERLINK("http://twitter.com/#!/download/ipad","Twitter for iPad")</f>
        <v>Twitter for iPad</v>
      </c>
      <c r="L1792" s="13">
        <v>44</v>
      </c>
      <c r="M1792" s="13">
        <v>298</v>
      </c>
      <c r="N1792" s="13">
        <v>1</v>
      </c>
      <c r="O1792" s="15"/>
      <c r="P1792" s="6">
        <v>40698.741319444445</v>
      </c>
      <c r="Q1792" s="12"/>
      <c r="R1792" s="17" t="s">
        <v>6142</v>
      </c>
      <c r="S1792" s="12"/>
      <c r="T1792" s="12"/>
      <c r="U1792" s="10" t="str">
        <f>HYPERLINK("https://pbs.twimg.com/profile_images/1511735342/image.jpg","View")</f>
        <v>View</v>
      </c>
    </row>
    <row r="1793" spans="1:21" ht="30.6">
      <c r="A1793" s="6">
        <v>43436.983518518522</v>
      </c>
      <c r="B1793" s="7" t="str">
        <f>HYPERLINK("https://twitter.com/NoSoyLaGente","@NoSoyLaGente")</f>
        <v>@NoSoyLaGente</v>
      </c>
      <c r="C1793" s="8" t="s">
        <v>6143</v>
      </c>
      <c r="D1793" s="9" t="s">
        <v>6144</v>
      </c>
      <c r="E1793" s="10" t="str">
        <f>HYPERLINK("https://twitter.com/NoSoyLaGente/status/1069359622249750528","1069359622249750528")</f>
        <v>1069359622249750528</v>
      </c>
      <c r="F1793" s="12"/>
      <c r="G1793" s="12"/>
      <c r="H1793" s="12"/>
      <c r="I1793" s="13">
        <v>4</v>
      </c>
      <c r="J1793" s="13">
        <v>26</v>
      </c>
      <c r="K1793" s="14" t="str">
        <f>HYPERLINK("http://twitter.com/download/iphone","Twitter for iPhone")</f>
        <v>Twitter for iPhone</v>
      </c>
      <c r="L1793" s="13">
        <v>20179</v>
      </c>
      <c r="M1793" s="13">
        <v>1207</v>
      </c>
      <c r="N1793" s="13">
        <v>130</v>
      </c>
      <c r="O1793" s="15"/>
      <c r="P1793" s="6">
        <v>40707.52584490741</v>
      </c>
      <c r="Q1793" s="16" t="s">
        <v>6145</v>
      </c>
      <c r="R1793" s="17" t="s">
        <v>6146</v>
      </c>
      <c r="S1793" s="12"/>
      <c r="T1793" s="12"/>
      <c r="U1793" s="10" t="str">
        <f>HYPERLINK("https://pbs.twimg.com/profile_images/1044145515645083648/Z69hCG4B.jpg","View")</f>
        <v>View</v>
      </c>
    </row>
    <row r="1794" spans="1:21" ht="13.2">
      <c r="A1794" s="6">
        <v>43436.983518518522</v>
      </c>
      <c r="B1794" s="7" t="str">
        <f>HYPERLINK("https://twitter.com/filodespada","@filodespada")</f>
        <v>@filodespada</v>
      </c>
      <c r="C1794" s="8" t="s">
        <v>6147</v>
      </c>
      <c r="D1794" s="9" t="s">
        <v>6148</v>
      </c>
      <c r="E1794" s="10" t="str">
        <f>HYPERLINK("https://twitter.com/filodespada/status/1069359621016567809","1069359621016567809")</f>
        <v>1069359621016567809</v>
      </c>
      <c r="F1794" s="12"/>
      <c r="G1794" s="12"/>
      <c r="H1794" s="12"/>
      <c r="I1794" s="13">
        <v>0</v>
      </c>
      <c r="J1794" s="13">
        <v>0</v>
      </c>
      <c r="K1794" s="14" t="str">
        <f>HYPERLINK("http://www.facebook.com/twitter","Facebook")</f>
        <v>Facebook</v>
      </c>
      <c r="L1794" s="13">
        <v>1140</v>
      </c>
      <c r="M1794" s="13">
        <v>2249</v>
      </c>
      <c r="N1794" s="13">
        <v>30</v>
      </c>
      <c r="O1794" s="15"/>
      <c r="P1794" s="6">
        <v>39466.929432870369</v>
      </c>
      <c r="Q1794" s="16" t="s">
        <v>6149</v>
      </c>
      <c r="R1794" s="17" t="s">
        <v>6150</v>
      </c>
      <c r="S1794" s="11" t="s">
        <v>6151</v>
      </c>
      <c r="T1794" s="12"/>
      <c r="U1794" s="10" t="str">
        <f>HYPERLINK("https://pbs.twimg.com/profile_images/813450738529603584/dykSuPiT.jpg","View")</f>
        <v>View</v>
      </c>
    </row>
    <row r="1795" spans="1:21" ht="20.399999999999999">
      <c r="A1795" s="6">
        <v>43436.983506944445</v>
      </c>
      <c r="B1795" s="7" t="str">
        <f>HYPERLINK("https://twitter.com/110010010011010","@110010010011010")</f>
        <v>@110010010011010</v>
      </c>
      <c r="C1795" s="8" t="s">
        <v>6152</v>
      </c>
      <c r="D1795" s="9" t="s">
        <v>6153</v>
      </c>
      <c r="E1795" s="10" t="str">
        <f>HYPERLINK("https://twitter.com/110010010011010/status/1069359620207071232","1069359620207071232")</f>
        <v>1069359620207071232</v>
      </c>
      <c r="F1795" s="12"/>
      <c r="G1795" s="12"/>
      <c r="H1795" s="12"/>
      <c r="I1795" s="13">
        <v>0</v>
      </c>
      <c r="J1795" s="13">
        <v>0</v>
      </c>
      <c r="K1795" s="14" t="str">
        <f>HYPERLINK("https://about.twitter.com/products/tweetdeck","TweetDeck")</f>
        <v>TweetDeck</v>
      </c>
      <c r="L1795" s="13">
        <v>9565</v>
      </c>
      <c r="M1795" s="13">
        <v>1579</v>
      </c>
      <c r="N1795" s="13">
        <v>262</v>
      </c>
      <c r="O1795" s="15"/>
      <c r="P1795" s="6">
        <v>40491.697685185187</v>
      </c>
      <c r="Q1795" s="16" t="s">
        <v>6154</v>
      </c>
      <c r="R1795" s="17" t="s">
        <v>6155</v>
      </c>
      <c r="S1795" s="12"/>
      <c r="T1795" s="12"/>
      <c r="U1795" s="10" t="str">
        <f>HYPERLINK("https://pbs.twimg.com/profile_images/1059042232492285952/qfOsejX9.jpg","View")</f>
        <v>View</v>
      </c>
    </row>
    <row r="1796" spans="1:21" ht="61.2">
      <c r="A1796" s="6">
        <v>43436.983472222222</v>
      </c>
      <c r="B1796" s="7" t="str">
        <f>HYPERLINK("https://twitter.com/bonicodecara","@bonicodecara")</f>
        <v>@bonicodecara</v>
      </c>
      <c r="C1796" s="8" t="s">
        <v>6156</v>
      </c>
      <c r="D1796" s="9" t="s">
        <v>6157</v>
      </c>
      <c r="E1796" s="10" t="str">
        <f>HYPERLINK("https://twitter.com/bonicodecara/status/1069359604151316480","1069359604151316480")</f>
        <v>1069359604151316480</v>
      </c>
      <c r="F1796" s="12"/>
      <c r="G1796" s="12"/>
      <c r="H1796" s="12"/>
      <c r="I1796" s="13">
        <v>7</v>
      </c>
      <c r="J1796" s="13">
        <v>35</v>
      </c>
      <c r="K1796" s="14" t="str">
        <f>HYPERLINK("http://twitter.com","Twitter Web Client")</f>
        <v>Twitter Web Client</v>
      </c>
      <c r="L1796" s="13">
        <v>3294</v>
      </c>
      <c r="M1796" s="13">
        <v>617</v>
      </c>
      <c r="N1796" s="13">
        <v>67</v>
      </c>
      <c r="O1796" s="15"/>
      <c r="P1796" s="6">
        <v>40573.75209490741</v>
      </c>
      <c r="Q1796" s="16" t="s">
        <v>6158</v>
      </c>
      <c r="R1796" s="17" t="s">
        <v>6159</v>
      </c>
      <c r="S1796" s="11" t="s">
        <v>6160</v>
      </c>
      <c r="T1796" s="12"/>
      <c r="U1796" s="10" t="str">
        <f>HYPERLINK("https://pbs.twimg.com/profile_images/708062341695455233/mukW__z5.jpg","View")</f>
        <v>View</v>
      </c>
    </row>
    <row r="1797" spans="1:21" ht="51">
      <c r="A1797" s="6">
        <v>43436.983460648145</v>
      </c>
      <c r="B1797" s="7" t="str">
        <f>HYPERLINK("https://twitter.com/Vitia21","@Vitia21")</f>
        <v>@Vitia21</v>
      </c>
      <c r="C1797" s="8" t="s">
        <v>6161</v>
      </c>
      <c r="D1797" s="9" t="s">
        <v>6162</v>
      </c>
      <c r="E1797" s="10" t="str">
        <f>HYPERLINK("https://twitter.com/Vitia21/status/1069359601525686278","1069359601525686278")</f>
        <v>1069359601525686278</v>
      </c>
      <c r="F1797" s="12"/>
      <c r="G1797" s="12"/>
      <c r="H1797" s="12"/>
      <c r="I1797" s="13">
        <v>0</v>
      </c>
      <c r="J1797" s="13">
        <v>0</v>
      </c>
      <c r="K1797" s="14" t="str">
        <f>HYPERLINK("http://twitter.com/download/android","Twitter for Android")</f>
        <v>Twitter for Android</v>
      </c>
      <c r="L1797" s="13">
        <v>535</v>
      </c>
      <c r="M1797" s="13">
        <v>487</v>
      </c>
      <c r="N1797" s="13">
        <v>0</v>
      </c>
      <c r="O1797" s="15"/>
      <c r="P1797" s="6">
        <v>40016.473194444443</v>
      </c>
      <c r="Q1797" s="16" t="s">
        <v>6163</v>
      </c>
      <c r="R1797" s="17" t="s">
        <v>6164</v>
      </c>
      <c r="S1797" s="12"/>
      <c r="T1797" s="12"/>
      <c r="U1797" s="10" t="str">
        <f>HYPERLINK("https://pbs.twimg.com/profile_images/961023437274845184/EIOePBYo.jpg","View")</f>
        <v>View</v>
      </c>
    </row>
    <row r="1798" spans="1:21" ht="30.6">
      <c r="A1798" s="6">
        <v>43436.983449074076</v>
      </c>
      <c r="B1798" s="7" t="str">
        <f>HYPERLINK("https://twitter.com/OndaCero_es","@OndaCero_es")</f>
        <v>@OndaCero_es</v>
      </c>
      <c r="C1798" s="8" t="s">
        <v>3207</v>
      </c>
      <c r="D1798" s="9" t="s">
        <v>6165</v>
      </c>
      <c r="E1798" s="10" t="str">
        <f>HYPERLINK("https://twitter.com/OndaCero_es/status/1069359598686097408","1069359598686097408")</f>
        <v>1069359598686097408</v>
      </c>
      <c r="F1798" s="11" t="s">
        <v>6166</v>
      </c>
      <c r="G1798" s="12"/>
      <c r="H1798" s="12"/>
      <c r="I1798" s="13">
        <v>6</v>
      </c>
      <c r="J1798" s="13">
        <v>16</v>
      </c>
      <c r="K1798" s="14" t="str">
        <f>HYPERLINK("http://dogtrack.es","DogTrack_Oficial")</f>
        <v>DogTrack_Oficial</v>
      </c>
      <c r="L1798" s="13">
        <v>504733</v>
      </c>
      <c r="M1798" s="13">
        <v>676</v>
      </c>
      <c r="N1798" s="13">
        <v>3509</v>
      </c>
      <c r="O1798" s="19" t="s">
        <v>44</v>
      </c>
      <c r="P1798" s="6">
        <v>40450.611562500002</v>
      </c>
      <c r="Q1798" s="12"/>
      <c r="R1798" s="17" t="s">
        <v>6167</v>
      </c>
      <c r="S1798" s="11" t="s">
        <v>2752</v>
      </c>
      <c r="T1798" s="12"/>
      <c r="U1798" s="10" t="str">
        <f>HYPERLINK("https://pbs.twimg.com/profile_images/898971242270793729/R3L_noj-.jpg","View")</f>
        <v>View</v>
      </c>
    </row>
    <row r="1799" spans="1:21" ht="13.2">
      <c r="A1799" s="6">
        <v>43436.983449074076</v>
      </c>
      <c r="B1799" s="7" t="str">
        <f>HYPERLINK("https://twitter.com/_diegovcf","@_diegovcf")</f>
        <v>@_diegovcf</v>
      </c>
      <c r="C1799" s="8" t="s">
        <v>6168</v>
      </c>
      <c r="D1799" s="9" t="s">
        <v>6169</v>
      </c>
      <c r="E1799" s="10" t="str">
        <f>HYPERLINK("https://twitter.com/_diegovcf/status/1069359595733360641","1069359595733360641")</f>
        <v>1069359595733360641</v>
      </c>
      <c r="F1799" s="12"/>
      <c r="G1799" s="11" t="s">
        <v>6170</v>
      </c>
      <c r="H1799" s="12"/>
      <c r="I1799" s="13">
        <v>0</v>
      </c>
      <c r="J1799" s="13">
        <v>0</v>
      </c>
      <c r="K1799" s="14" t="str">
        <f t="shared" ref="K1799:K1800" si="308">HYPERLINK("http://twitter.com/download/android","Twitter for Android")</f>
        <v>Twitter for Android</v>
      </c>
      <c r="L1799" s="13">
        <v>291</v>
      </c>
      <c r="M1799" s="13">
        <v>291</v>
      </c>
      <c r="N1799" s="13">
        <v>4</v>
      </c>
      <c r="O1799" s="15"/>
      <c r="P1799" s="6">
        <v>41115.969814814816</v>
      </c>
      <c r="Q1799" s="16" t="s">
        <v>6171</v>
      </c>
      <c r="R1799" s="17" t="s">
        <v>6172</v>
      </c>
      <c r="S1799" s="12"/>
      <c r="T1799" s="12"/>
      <c r="U1799" s="10" t="str">
        <f>HYPERLINK("https://pbs.twimg.com/profile_images/1068993989217583104/kqlgGurj.jpg","View")</f>
        <v>View</v>
      </c>
    </row>
    <row r="1800" spans="1:21" ht="51">
      <c r="A1800" s="6">
        <v>43436.983449074076</v>
      </c>
      <c r="B1800" s="7" t="str">
        <f>HYPERLINK("https://twitter.com/Kosakoman","@Kosakoman")</f>
        <v>@Kosakoman</v>
      </c>
      <c r="C1800" s="8" t="s">
        <v>6173</v>
      </c>
      <c r="D1800" s="9" t="s">
        <v>6174</v>
      </c>
      <c r="E1800" s="10" t="str">
        <f>HYPERLINK("https://twitter.com/Kosakoman/status/1069359595662032896","1069359595662032896")</f>
        <v>1069359595662032896</v>
      </c>
      <c r="F1800" s="12"/>
      <c r="G1800" s="12"/>
      <c r="H1800" s="12"/>
      <c r="I1800" s="13">
        <v>0</v>
      </c>
      <c r="J1800" s="13">
        <v>0</v>
      </c>
      <c r="K1800" s="14" t="str">
        <f t="shared" si="308"/>
        <v>Twitter for Android</v>
      </c>
      <c r="L1800" s="13">
        <v>89</v>
      </c>
      <c r="M1800" s="13">
        <v>384</v>
      </c>
      <c r="N1800" s="13">
        <v>2</v>
      </c>
      <c r="O1800" s="15"/>
      <c r="P1800" s="6">
        <v>40112.739930555559</v>
      </c>
      <c r="Q1800" s="16" t="s">
        <v>6175</v>
      </c>
      <c r="R1800" s="17" t="s">
        <v>6176</v>
      </c>
      <c r="S1800" s="12"/>
      <c r="T1800" s="12"/>
      <c r="U1800" s="10" t="str">
        <f>HYPERLINK("https://pbs.twimg.com/profile_images/1201770297/tux_pirate_avatar.png","View")</f>
        <v>View</v>
      </c>
    </row>
    <row r="1801" spans="1:21" ht="40.799999999999997">
      <c r="A1801" s="6">
        <v>43436.98337962963</v>
      </c>
      <c r="B1801" s="7" t="str">
        <f>HYPERLINK("https://twitter.com/kaidon__","@kaidon__")</f>
        <v>@kaidon__</v>
      </c>
      <c r="C1801" s="8" t="s">
        <v>5322</v>
      </c>
      <c r="D1801" s="9" t="s">
        <v>6177</v>
      </c>
      <c r="E1801" s="10" t="str">
        <f>HYPERLINK("https://twitter.com/kaidon__/status/1069359571037274112","1069359571037274112")</f>
        <v>1069359571037274112</v>
      </c>
      <c r="F1801" s="12"/>
      <c r="G1801" s="12"/>
      <c r="H1801" s="12"/>
      <c r="I1801" s="13">
        <v>0</v>
      </c>
      <c r="J1801" s="13">
        <v>2</v>
      </c>
      <c r="K1801" s="14" t="str">
        <f>HYPERLINK("https://about.twitter.com/products/tweetdeck","TweetDeck")</f>
        <v>TweetDeck</v>
      </c>
      <c r="L1801" s="13">
        <v>530</v>
      </c>
      <c r="M1801" s="13">
        <v>981</v>
      </c>
      <c r="N1801" s="13">
        <v>23</v>
      </c>
      <c r="O1801" s="15"/>
      <c r="P1801" s="6">
        <v>40488.992604166662</v>
      </c>
      <c r="Q1801" s="16" t="s">
        <v>6178</v>
      </c>
      <c r="R1801" s="17" t="s">
        <v>6179</v>
      </c>
      <c r="S1801" s="11" t="s">
        <v>6180</v>
      </c>
      <c r="T1801" s="12"/>
      <c r="U1801" s="10" t="str">
        <f>HYPERLINK("https://pbs.twimg.com/profile_images/1027896290628317187/zh0AaUhU.jpg","View")</f>
        <v>View</v>
      </c>
    </row>
    <row r="1802" spans="1:21" ht="30.6">
      <c r="A1802" s="6">
        <v>43436.98336805556</v>
      </c>
      <c r="B1802" s="7" t="str">
        <f>HYPERLINK("https://twitter.com/esalextric","@esalextric")</f>
        <v>@esalextric</v>
      </c>
      <c r="C1802" s="8" t="s">
        <v>6181</v>
      </c>
      <c r="D1802" s="9" t="s">
        <v>6182</v>
      </c>
      <c r="E1802" s="10" t="str">
        <f>HYPERLINK("https://twitter.com/esalextric/status/1069359568784973826","1069359568784973826")</f>
        <v>1069359568784973826</v>
      </c>
      <c r="F1802" s="12"/>
      <c r="G1802" s="12"/>
      <c r="H1802" s="12"/>
      <c r="I1802" s="13">
        <v>0</v>
      </c>
      <c r="J1802" s="13">
        <v>3</v>
      </c>
      <c r="K1802" s="14" t="str">
        <f>HYPERLINK("http://twitter.com","Twitter Web Client")</f>
        <v>Twitter Web Client</v>
      </c>
      <c r="L1802" s="13">
        <v>134</v>
      </c>
      <c r="M1802" s="13">
        <v>520</v>
      </c>
      <c r="N1802" s="13">
        <v>0</v>
      </c>
      <c r="O1802" s="15"/>
      <c r="P1802" s="6">
        <v>40866.920405092591</v>
      </c>
      <c r="Q1802" s="12"/>
      <c r="R1802" s="17" t="s">
        <v>6183</v>
      </c>
      <c r="S1802" s="11" t="s">
        <v>6184</v>
      </c>
      <c r="T1802" s="12"/>
      <c r="U1802" s="10" t="str">
        <f>HYPERLINK("https://pbs.twimg.com/profile_images/1037149431961927681/P5wLVGr0.jpg","View")</f>
        <v>View</v>
      </c>
    </row>
    <row r="1803" spans="1:21" ht="30.6">
      <c r="A1803" s="6">
        <v>43436.98336805556</v>
      </c>
      <c r="B1803" s="7" t="str">
        <f>HYPERLINK("https://twitter.com/Chirel64","@Chirel64")</f>
        <v>@Chirel64</v>
      </c>
      <c r="C1803" s="8" t="s">
        <v>6185</v>
      </c>
      <c r="D1803" s="9" t="s">
        <v>6186</v>
      </c>
      <c r="E1803" s="10" t="str">
        <f>HYPERLINK("https://twitter.com/Chirel64/status/1069359567472140289","1069359567472140289")</f>
        <v>1069359567472140289</v>
      </c>
      <c r="F1803" s="12"/>
      <c r="G1803" s="12"/>
      <c r="H1803" s="12"/>
      <c r="I1803" s="13">
        <v>1</v>
      </c>
      <c r="J1803" s="13">
        <v>1</v>
      </c>
      <c r="K1803" s="14" t="str">
        <f>HYPERLINK("http://twitter.com/download/iphone","Twitter for iPhone")</f>
        <v>Twitter for iPhone</v>
      </c>
      <c r="L1803" s="13">
        <v>826</v>
      </c>
      <c r="M1803" s="13">
        <v>641</v>
      </c>
      <c r="N1803" s="13">
        <v>46</v>
      </c>
      <c r="O1803" s="15"/>
      <c r="P1803" s="6">
        <v>40129.538078703699</v>
      </c>
      <c r="Q1803" s="16" t="s">
        <v>6187</v>
      </c>
      <c r="R1803" s="17" t="s">
        <v>6188</v>
      </c>
      <c r="S1803" s="12"/>
      <c r="T1803" s="12"/>
      <c r="U1803" s="10" t="str">
        <f>HYPERLINK("https://pbs.twimg.com/profile_images/920661196394680320/trMQtcwe.jpg","View")</f>
        <v>View</v>
      </c>
    </row>
    <row r="1804" spans="1:21" ht="51">
      <c r="A1804" s="6">
        <v>43436.983344907407</v>
      </c>
      <c r="B1804" s="7" t="str">
        <f>HYPERLINK("https://twitter.com/xmikelangelousx","@xmikelangelousx")</f>
        <v>@xmikelangelousx</v>
      </c>
      <c r="C1804" s="8" t="s">
        <v>6189</v>
      </c>
      <c r="D1804" s="9" t="s">
        <v>6190</v>
      </c>
      <c r="E1804" s="10" t="str">
        <f>HYPERLINK("https://twitter.com/xmikelangelousx/status/1069359561822429184","1069359561822429184")</f>
        <v>1069359561822429184</v>
      </c>
      <c r="F1804" s="12"/>
      <c r="G1804" s="12"/>
      <c r="H1804" s="12"/>
      <c r="I1804" s="13">
        <v>0</v>
      </c>
      <c r="J1804" s="13">
        <v>0</v>
      </c>
      <c r="K1804" s="14" t="str">
        <f t="shared" ref="K1804:K1805" si="309">HYPERLINK("http://twitter.com/download/android","Twitter for Android")</f>
        <v>Twitter for Android</v>
      </c>
      <c r="L1804" s="13">
        <v>899</v>
      </c>
      <c r="M1804" s="13">
        <v>1988</v>
      </c>
      <c r="N1804" s="13">
        <v>48</v>
      </c>
      <c r="O1804" s="15"/>
      <c r="P1804" s="6">
        <v>41586.576377314814</v>
      </c>
      <c r="Q1804" s="16" t="s">
        <v>6191</v>
      </c>
      <c r="R1804" s="17" t="s">
        <v>6192</v>
      </c>
      <c r="S1804" s="11" t="s">
        <v>6193</v>
      </c>
      <c r="T1804" s="12"/>
      <c r="U1804" s="10" t="str">
        <f>HYPERLINK("https://pbs.twimg.com/profile_images/1068875201625112576/GPjUWhsO.jpg","View")</f>
        <v>View</v>
      </c>
    </row>
    <row r="1805" spans="1:21" ht="30.6">
      <c r="A1805" s="6">
        <v>43436.983333333337</v>
      </c>
      <c r="B1805" s="7" t="str">
        <f>HYPERLINK("https://twitter.com/fight0rdietryin","@fight0rdietryin")</f>
        <v>@fight0rdietryin</v>
      </c>
      <c r="C1805" s="8" t="s">
        <v>6194</v>
      </c>
      <c r="D1805" s="9" t="s">
        <v>6195</v>
      </c>
      <c r="E1805" s="10" t="str">
        <f>HYPERLINK("https://twitter.com/fight0rdietryin/status/1069359557565132800","1069359557565132800")</f>
        <v>1069359557565132800</v>
      </c>
      <c r="F1805" s="12"/>
      <c r="G1805" s="12"/>
      <c r="H1805" s="12"/>
      <c r="I1805" s="13">
        <v>0</v>
      </c>
      <c r="J1805" s="13">
        <v>0</v>
      </c>
      <c r="K1805" s="14" t="str">
        <f t="shared" si="309"/>
        <v>Twitter for Android</v>
      </c>
      <c r="L1805" s="13">
        <v>223</v>
      </c>
      <c r="M1805" s="13">
        <v>127</v>
      </c>
      <c r="N1805" s="13">
        <v>0</v>
      </c>
      <c r="O1805" s="15"/>
      <c r="P1805" s="6">
        <v>42979.101307870369</v>
      </c>
      <c r="Q1805" s="16" t="s">
        <v>328</v>
      </c>
      <c r="R1805" s="28" t="s">
        <v>6196</v>
      </c>
      <c r="S1805" s="11" t="s">
        <v>6197</v>
      </c>
      <c r="T1805" s="12"/>
      <c r="U1805" s="10" t="str">
        <f>HYPERLINK("https://pbs.twimg.com/profile_images/1042191594881921024/F-h0K0-P.jpg","View")</f>
        <v>View</v>
      </c>
    </row>
    <row r="1806" spans="1:21" ht="30.6">
      <c r="A1806" s="6">
        <v>43436.983333333337</v>
      </c>
      <c r="B1806" s="7" t="str">
        <f>HYPERLINK("https://twitter.com/JordiMaartinez1","@JordiMaartinez1")</f>
        <v>@JordiMaartinez1</v>
      </c>
      <c r="C1806" s="8" t="s">
        <v>6198</v>
      </c>
      <c r="D1806" s="9" t="s">
        <v>6199</v>
      </c>
      <c r="E1806" s="10" t="str">
        <f>HYPERLINK("https://twitter.com/JordiMaartinez1/status/1069359557179293696","1069359557179293696")</f>
        <v>1069359557179293696</v>
      </c>
      <c r="F1806" s="12"/>
      <c r="G1806" s="12"/>
      <c r="H1806" s="12"/>
      <c r="I1806" s="13">
        <v>1</v>
      </c>
      <c r="J1806" s="13">
        <v>2</v>
      </c>
      <c r="K1806" s="14" t="str">
        <f>HYPERLINK("http://twitter.com/download/iphone","Twitter for iPhone")</f>
        <v>Twitter for iPhone</v>
      </c>
      <c r="L1806" s="13">
        <v>281</v>
      </c>
      <c r="M1806" s="13">
        <v>81</v>
      </c>
      <c r="N1806" s="13">
        <v>1</v>
      </c>
      <c r="O1806" s="15"/>
      <c r="P1806" s="6">
        <v>41867.885000000002</v>
      </c>
      <c r="Q1806" s="16" t="s">
        <v>3386</v>
      </c>
      <c r="R1806" s="17" t="s">
        <v>6200</v>
      </c>
      <c r="S1806" s="12"/>
      <c r="T1806" s="12"/>
      <c r="U1806" s="10" t="str">
        <f>HYPERLINK("https://pbs.twimg.com/profile_images/1067117359956148224/_q8OaK0q.jpg","View")</f>
        <v>View</v>
      </c>
    </row>
    <row r="1807" spans="1:21" ht="30.6">
      <c r="A1807" s="6">
        <v>43436.983333333337</v>
      </c>
      <c r="B1807" s="7" t="str">
        <f>HYPERLINK("https://twitter.com/Criss_Online","@Criss_Online")</f>
        <v>@Criss_Online</v>
      </c>
      <c r="C1807" s="8" t="s">
        <v>6201</v>
      </c>
      <c r="D1807" s="9" t="s">
        <v>6202</v>
      </c>
      <c r="E1807" s="10" t="str">
        <f>HYPERLINK("https://twitter.com/Criss_Online/status/1069359554482380801","1069359554482380801")</f>
        <v>1069359554482380801</v>
      </c>
      <c r="F1807" s="12"/>
      <c r="G1807" s="12"/>
      <c r="H1807" s="12"/>
      <c r="I1807" s="13">
        <v>1</v>
      </c>
      <c r="J1807" s="13">
        <v>2</v>
      </c>
      <c r="K1807" s="14" t="str">
        <f>HYPERLINK("http://twitter.com/download/android","Twitter for Android")</f>
        <v>Twitter for Android</v>
      </c>
      <c r="L1807" s="13">
        <v>2010</v>
      </c>
      <c r="M1807" s="13">
        <v>613</v>
      </c>
      <c r="N1807" s="13">
        <v>50</v>
      </c>
      <c r="O1807" s="15"/>
      <c r="P1807" s="6">
        <v>40842.696469907409</v>
      </c>
      <c r="Q1807" s="16" t="s">
        <v>735</v>
      </c>
      <c r="R1807" s="17" t="s">
        <v>6203</v>
      </c>
      <c r="S1807" s="11" t="s">
        <v>6204</v>
      </c>
      <c r="T1807" s="12"/>
      <c r="U1807" s="10" t="str">
        <f>HYPERLINK("https://pbs.twimg.com/profile_images/1032052223805669377/a1q5QHzQ.jpg","View")</f>
        <v>View</v>
      </c>
    </row>
    <row r="1808" spans="1:21" ht="40.799999999999997">
      <c r="A1808" s="6">
        <v>43436.983275462961</v>
      </c>
      <c r="B1808" s="7" t="str">
        <f>HYPERLINK("https://twitter.com/Xusticieru","@Xusticieru")</f>
        <v>@Xusticieru</v>
      </c>
      <c r="C1808" s="8" t="s">
        <v>2166</v>
      </c>
      <c r="D1808" s="9" t="s">
        <v>6205</v>
      </c>
      <c r="E1808" s="10" t="str">
        <f>HYPERLINK("https://twitter.com/Xusticieru/status/1069359534781751296","1069359534781751296")</f>
        <v>1069359534781751296</v>
      </c>
      <c r="F1808" s="12"/>
      <c r="G1808" s="12"/>
      <c r="H1808" s="12"/>
      <c r="I1808" s="13">
        <v>2</v>
      </c>
      <c r="J1808" s="13">
        <v>1</v>
      </c>
      <c r="K1808" s="14" t="str">
        <f>HYPERLINK("http://twitter.com","Twitter Web Client")</f>
        <v>Twitter Web Client</v>
      </c>
      <c r="L1808" s="13">
        <v>3619</v>
      </c>
      <c r="M1808" s="13">
        <v>3320</v>
      </c>
      <c r="N1808" s="13">
        <v>28</v>
      </c>
      <c r="O1808" s="15"/>
      <c r="P1808" s="6">
        <v>41343.738807870366</v>
      </c>
      <c r="Q1808" s="16" t="s">
        <v>2168</v>
      </c>
      <c r="R1808" s="17" t="s">
        <v>2169</v>
      </c>
      <c r="S1808" s="12"/>
      <c r="T1808" s="12"/>
      <c r="U1808" s="10" t="str">
        <f>HYPERLINK("https://pbs.twimg.com/profile_images/1054286746253512705/57h4gwl2.jpg","View")</f>
        <v>View</v>
      </c>
    </row>
    <row r="1809" spans="1:21" ht="40.799999999999997">
      <c r="A1809" s="6">
        <v>43436.983252314814</v>
      </c>
      <c r="B1809" s="7" t="str">
        <f>HYPERLINK("https://twitter.com/Valentin_Pozo","@Valentin_Pozo")</f>
        <v>@Valentin_Pozo</v>
      </c>
      <c r="C1809" s="8" t="s">
        <v>6206</v>
      </c>
      <c r="D1809" s="9" t="s">
        <v>6207</v>
      </c>
      <c r="E1809" s="10" t="str">
        <f>HYPERLINK("https://twitter.com/Valentin_Pozo/status/1069359527592628229","1069359527592628229")</f>
        <v>1069359527592628229</v>
      </c>
      <c r="F1809" s="12"/>
      <c r="G1809" s="12"/>
      <c r="H1809" s="12"/>
      <c r="I1809" s="13">
        <v>0</v>
      </c>
      <c r="J1809" s="13">
        <v>1</v>
      </c>
      <c r="K1809" s="14" t="str">
        <f>HYPERLINK("http://twitter.com/download/android","Twitter for Android")</f>
        <v>Twitter for Android</v>
      </c>
      <c r="L1809" s="13">
        <v>921</v>
      </c>
      <c r="M1809" s="13">
        <v>987</v>
      </c>
      <c r="N1809" s="13">
        <v>14</v>
      </c>
      <c r="O1809" s="15"/>
      <c r="P1809" s="6">
        <v>40790.050752314812</v>
      </c>
      <c r="Q1809" s="16" t="s">
        <v>48</v>
      </c>
      <c r="R1809" s="17" t="s">
        <v>6208</v>
      </c>
      <c r="S1809" s="12"/>
      <c r="T1809" s="12"/>
      <c r="U1809" s="10" t="str">
        <f>HYPERLINK("https://pbs.twimg.com/profile_images/746098364413022208/qnJOI8jV.jpg","View")</f>
        <v>View</v>
      </c>
    </row>
    <row r="1810" spans="1:21" ht="30.6">
      <c r="A1810" s="6">
        <v>43436.983252314814</v>
      </c>
      <c r="B1810" s="7" t="str">
        <f>HYPERLINK("https://twitter.com/mavallecillo","@mavallecillo")</f>
        <v>@mavallecillo</v>
      </c>
      <c r="C1810" s="8" t="s">
        <v>6209</v>
      </c>
      <c r="D1810" s="9" t="s">
        <v>6210</v>
      </c>
      <c r="E1810" s="10" t="str">
        <f>HYPERLINK("https://twitter.com/mavallecillo/status/1069359527034843136","1069359527034843136")</f>
        <v>1069359527034843136</v>
      </c>
      <c r="F1810" s="12"/>
      <c r="G1810" s="11" t="s">
        <v>6211</v>
      </c>
      <c r="H1810" s="12"/>
      <c r="I1810" s="13">
        <v>3</v>
      </c>
      <c r="J1810" s="13">
        <v>5</v>
      </c>
      <c r="K1810" s="14" t="str">
        <f>HYPERLINK("http://twitter.com","Twitter Web Client")</f>
        <v>Twitter Web Client</v>
      </c>
      <c r="L1810" s="13">
        <v>4687</v>
      </c>
      <c r="M1810" s="13">
        <v>921</v>
      </c>
      <c r="N1810" s="13">
        <v>72</v>
      </c>
      <c r="O1810" s="15"/>
      <c r="P1810" s="6">
        <v>40129.935856481483</v>
      </c>
      <c r="Q1810" s="16" t="s">
        <v>2209</v>
      </c>
      <c r="R1810" s="17" t="s">
        <v>6212</v>
      </c>
      <c r="S1810" s="11" t="s">
        <v>6213</v>
      </c>
      <c r="T1810" s="12"/>
      <c r="U1810" s="10" t="str">
        <f>HYPERLINK("https://pbs.twimg.com/profile_images/1017471840476901377/rHykPLRK.jpg","View")</f>
        <v>View</v>
      </c>
    </row>
    <row r="1811" spans="1:21" ht="20.399999999999999">
      <c r="A1811" s="6">
        <v>43436.983240740738</v>
      </c>
      <c r="B1811" s="7" t="str">
        <f>HYPERLINK("https://twitter.com/natygm78","@natygm78")</f>
        <v>@natygm78</v>
      </c>
      <c r="C1811" s="8" t="s">
        <v>6214</v>
      </c>
      <c r="D1811" s="9" t="s">
        <v>6215</v>
      </c>
      <c r="E1811" s="10" t="str">
        <f>HYPERLINK("https://twitter.com/natygm78/status/1069359522802733056","1069359522802733056")</f>
        <v>1069359522802733056</v>
      </c>
      <c r="F1811" s="12"/>
      <c r="G1811" s="12"/>
      <c r="H1811" s="12"/>
      <c r="I1811" s="13">
        <v>0</v>
      </c>
      <c r="J1811" s="13">
        <v>0</v>
      </c>
      <c r="K1811" s="14" t="str">
        <f>HYPERLINK("http://twitter.com/download/android","Twitter for Android")</f>
        <v>Twitter for Android</v>
      </c>
      <c r="L1811" s="13">
        <v>70</v>
      </c>
      <c r="M1811" s="13">
        <v>331</v>
      </c>
      <c r="N1811" s="13">
        <v>0</v>
      </c>
      <c r="O1811" s="15"/>
      <c r="P1811" s="6">
        <v>43240.838402777779</v>
      </c>
      <c r="Q1811" s="12"/>
      <c r="R1811" s="17" t="s">
        <v>6216</v>
      </c>
      <c r="S1811" s="12"/>
      <c r="T1811" s="12"/>
      <c r="U1811" s="10" t="str">
        <f>HYPERLINK("https://pbs.twimg.com/profile_images/1071400973149589509/5NsK3xbQ.jpg","View")</f>
        <v>View</v>
      </c>
    </row>
    <row r="1812" spans="1:21" ht="51">
      <c r="A1812" s="6">
        <v>43436.983229166668</v>
      </c>
      <c r="B1812" s="7" t="str">
        <f>HYPERLINK("https://twitter.com/menoscanas","@menoscanas")</f>
        <v>@menoscanas</v>
      </c>
      <c r="C1812" s="8" t="s">
        <v>6217</v>
      </c>
      <c r="D1812" s="9" t="s">
        <v>6218</v>
      </c>
      <c r="E1812" s="10" t="str">
        <f>HYPERLINK("https://twitter.com/menoscanas/status/1069359520097452038","1069359520097452038")</f>
        <v>1069359520097452038</v>
      </c>
      <c r="F1812" s="12"/>
      <c r="G1812" s="12"/>
      <c r="H1812" s="12"/>
      <c r="I1812" s="13">
        <v>0</v>
      </c>
      <c r="J1812" s="13">
        <v>0</v>
      </c>
      <c r="K1812" s="14" t="str">
        <f>HYPERLINK("https://about.twitter.com/products/tweetdeck","TweetDeck")</f>
        <v>TweetDeck</v>
      </c>
      <c r="L1812" s="13">
        <v>20774</v>
      </c>
      <c r="M1812" s="13">
        <v>2551</v>
      </c>
      <c r="N1812" s="13">
        <v>250</v>
      </c>
      <c r="O1812" s="15"/>
      <c r="P1812" s="6">
        <v>40045.971886574072</v>
      </c>
      <c r="Q1812" s="16" t="s">
        <v>6219</v>
      </c>
      <c r="R1812" s="17" t="s">
        <v>6220</v>
      </c>
      <c r="S1812" s="11" t="s">
        <v>6221</v>
      </c>
      <c r="T1812" s="12"/>
      <c r="U1812" s="10" t="str">
        <f>HYPERLINK("https://pbs.twimg.com/profile_images/1055614271642574848/IK4NSsxY.jpg","View")</f>
        <v>View</v>
      </c>
    </row>
    <row r="1813" spans="1:21" ht="20.399999999999999">
      <c r="A1813" s="6">
        <v>43436.983229166668</v>
      </c>
      <c r="B1813" s="7" t="str">
        <f>HYPERLINK("https://twitter.com/ParanoidNeva","@ParanoidNeva")</f>
        <v>@ParanoidNeva</v>
      </c>
      <c r="C1813" s="8" t="s">
        <v>6223</v>
      </c>
      <c r="D1813" s="9" t="s">
        <v>6224</v>
      </c>
      <c r="E1813" s="10" t="str">
        <f>HYPERLINK("https://twitter.com/ParanoidNeva/status/1069359517404721154","1069359517404721154")</f>
        <v>1069359517404721154</v>
      </c>
      <c r="F1813" s="12"/>
      <c r="G1813" s="12"/>
      <c r="H1813" s="12"/>
      <c r="I1813" s="13">
        <v>0</v>
      </c>
      <c r="J1813" s="13">
        <v>8</v>
      </c>
      <c r="K1813" s="14" t="str">
        <f t="shared" ref="K1813:K1814" si="310">HYPERLINK("http://twitter.com/download/android","Twitter for Android")</f>
        <v>Twitter for Android</v>
      </c>
      <c r="L1813" s="13">
        <v>525</v>
      </c>
      <c r="M1813" s="13">
        <v>183</v>
      </c>
      <c r="N1813" s="13">
        <v>10</v>
      </c>
      <c r="O1813" s="15"/>
      <c r="P1813" s="6">
        <v>40804.047442129631</v>
      </c>
      <c r="Q1813" s="16" t="s">
        <v>6227</v>
      </c>
      <c r="R1813" s="17" t="s">
        <v>6228</v>
      </c>
      <c r="S1813" s="11" t="s">
        <v>6230</v>
      </c>
      <c r="T1813" s="12"/>
      <c r="U1813" s="10" t="str">
        <f>HYPERLINK("https://pbs.twimg.com/profile_images/848867401567481857/UZBzwRP6.jpg","View")</f>
        <v>View</v>
      </c>
    </row>
    <row r="1814" spans="1:21" ht="30.6">
      <c r="A1814" s="6">
        <v>43436.983217592591</v>
      </c>
      <c r="B1814" s="7" t="str">
        <f>HYPERLINK("https://twitter.com/linkk_81","@linkk_81")</f>
        <v>@linkk_81</v>
      </c>
      <c r="C1814" s="8" t="s">
        <v>6231</v>
      </c>
      <c r="D1814" s="9" t="s">
        <v>6232</v>
      </c>
      <c r="E1814" s="10" t="str">
        <f>HYPERLINK("https://twitter.com/linkk_81/status/1069359512342138885","1069359512342138885")</f>
        <v>1069359512342138885</v>
      </c>
      <c r="F1814" s="12"/>
      <c r="G1814" s="12"/>
      <c r="H1814" s="12"/>
      <c r="I1814" s="13">
        <v>0</v>
      </c>
      <c r="J1814" s="13">
        <v>0</v>
      </c>
      <c r="K1814" s="14" t="str">
        <f t="shared" si="310"/>
        <v>Twitter for Android</v>
      </c>
      <c r="L1814" s="13">
        <v>412</v>
      </c>
      <c r="M1814" s="13">
        <v>871</v>
      </c>
      <c r="N1814" s="13">
        <v>19</v>
      </c>
      <c r="O1814" s="15"/>
      <c r="P1814" s="6">
        <v>40320.664756944447</v>
      </c>
      <c r="Q1814" s="16" t="s">
        <v>1908</v>
      </c>
      <c r="R1814" s="17" t="s">
        <v>6233</v>
      </c>
      <c r="S1814" s="12"/>
      <c r="T1814" s="12"/>
      <c r="U1814" s="10" t="str">
        <f>HYPERLINK("https://pbs.twimg.com/profile_images/1034113297363152897/8e5QsCmG.jpg","View")</f>
        <v>View</v>
      </c>
    </row>
    <row r="1815" spans="1:21" ht="30.6">
      <c r="A1815" s="6">
        <v>43436.983148148152</v>
      </c>
      <c r="B1815" s="7" t="str">
        <f>HYPERLINK("https://twitter.com/VPernas","@VPernas")</f>
        <v>@VPernas</v>
      </c>
      <c r="C1815" s="8" t="s">
        <v>6234</v>
      </c>
      <c r="D1815" s="9" t="s">
        <v>6235</v>
      </c>
      <c r="E1815" s="10" t="str">
        <f>HYPERLINK("https://twitter.com/VPernas/status/1069359490653478912","1069359490653478912")</f>
        <v>1069359490653478912</v>
      </c>
      <c r="F1815" s="12"/>
      <c r="G1815" s="12"/>
      <c r="H1815" s="12"/>
      <c r="I1815" s="13">
        <v>0</v>
      </c>
      <c r="J1815" s="13">
        <v>0</v>
      </c>
      <c r="K1815" s="14" t="str">
        <f>HYPERLINK("http://twitter.com/download/iphone","Twitter for iPhone")</f>
        <v>Twitter for iPhone</v>
      </c>
      <c r="L1815" s="13">
        <v>1176</v>
      </c>
      <c r="M1815" s="13">
        <v>643</v>
      </c>
      <c r="N1815" s="13">
        <v>36</v>
      </c>
      <c r="O1815" s="15"/>
      <c r="P1815" s="6">
        <v>39923.497083333335</v>
      </c>
      <c r="Q1815" s="16" t="s">
        <v>191</v>
      </c>
      <c r="R1815" s="17" t="s">
        <v>6236</v>
      </c>
      <c r="S1815" s="12"/>
      <c r="T1815" s="12"/>
      <c r="U1815" s="10" t="str">
        <f>HYPERLINK("https://pbs.twimg.com/profile_images/901363930651664384/93oxJGCM.jpg","View")</f>
        <v>View</v>
      </c>
    </row>
    <row r="1816" spans="1:21" ht="40.799999999999997">
      <c r="A1816" s="6">
        <v>43436.983148148152</v>
      </c>
      <c r="B1816" s="7" t="str">
        <f>HYPERLINK("https://twitter.com/Joni_Radio","@Joni_Radio")</f>
        <v>@Joni_Radio</v>
      </c>
      <c r="C1816" s="8" t="s">
        <v>6237</v>
      </c>
      <c r="D1816" s="9" t="s">
        <v>6238</v>
      </c>
      <c r="E1816" s="10" t="str">
        <f>HYPERLINK("https://twitter.com/Joni_Radio/status/1069359489625858051","1069359489625858051")</f>
        <v>1069359489625858051</v>
      </c>
      <c r="F1816" s="12"/>
      <c r="G1816" s="12"/>
      <c r="H1816" s="12"/>
      <c r="I1816" s="13">
        <v>1</v>
      </c>
      <c r="J1816" s="13">
        <v>0</v>
      </c>
      <c r="K1816" s="14" t="str">
        <f t="shared" ref="K1816:K1817" si="311">HYPERLINK("http://twitter.com/download/android","Twitter for Android")</f>
        <v>Twitter for Android</v>
      </c>
      <c r="L1816" s="13">
        <v>190</v>
      </c>
      <c r="M1816" s="13">
        <v>205</v>
      </c>
      <c r="N1816" s="13">
        <v>7</v>
      </c>
      <c r="O1816" s="15"/>
      <c r="P1816" s="6">
        <v>41069.615069444444</v>
      </c>
      <c r="Q1816" s="16" t="s">
        <v>1823</v>
      </c>
      <c r="R1816" s="17" t="s">
        <v>6239</v>
      </c>
      <c r="S1816" s="12"/>
      <c r="T1816" s="12"/>
      <c r="U1816" s="10" t="str">
        <f>HYPERLINK("https://pbs.twimg.com/profile_images/1031924931133669376/WyKj3rIJ.jpg","View")</f>
        <v>View</v>
      </c>
    </row>
    <row r="1817" spans="1:21" ht="30.6">
      <c r="A1817" s="6">
        <v>43436.983136574076</v>
      </c>
      <c r="B1817" s="7" t="str">
        <f>HYPERLINK("https://twitter.com/J_Diaz8","@J_Diaz8")</f>
        <v>@J_Diaz8</v>
      </c>
      <c r="C1817" s="8" t="s">
        <v>6240</v>
      </c>
      <c r="D1817" s="9" t="s">
        <v>6241</v>
      </c>
      <c r="E1817" s="10" t="str">
        <f>HYPERLINK("https://twitter.com/J_Diaz8/status/1069359482751340544","1069359482751340544")</f>
        <v>1069359482751340544</v>
      </c>
      <c r="F1817" s="12"/>
      <c r="G1817" s="11" t="s">
        <v>6242</v>
      </c>
      <c r="H1817" s="12"/>
      <c r="I1817" s="13">
        <v>0</v>
      </c>
      <c r="J1817" s="13">
        <v>0</v>
      </c>
      <c r="K1817" s="14" t="str">
        <f t="shared" si="311"/>
        <v>Twitter for Android</v>
      </c>
      <c r="L1817" s="13">
        <v>12</v>
      </c>
      <c r="M1817" s="13">
        <v>106</v>
      </c>
      <c r="N1817" s="13">
        <v>0</v>
      </c>
      <c r="O1817" s="15"/>
      <c r="P1817" s="6">
        <v>43375.014606481476</v>
      </c>
      <c r="Q1817" s="16" t="s">
        <v>6243</v>
      </c>
      <c r="R1817" s="17" t="s">
        <v>6244</v>
      </c>
      <c r="S1817" s="11" t="s">
        <v>6245</v>
      </c>
      <c r="T1817" s="12"/>
      <c r="U1817" s="10" t="str">
        <f>HYPERLINK("https://pbs.twimg.com/profile_images/1047827503438594049/gccMGKCX.jpg","View")</f>
        <v>View</v>
      </c>
    </row>
    <row r="1818" spans="1:21" ht="20.399999999999999">
      <c r="A1818" s="6">
        <v>43436.983113425929</v>
      </c>
      <c r="B1818" s="7" t="str">
        <f>HYPERLINK("https://twitter.com/_bacedifogu","@_bacedifogu")</f>
        <v>@_bacedifogu</v>
      </c>
      <c r="C1818" s="8" t="s">
        <v>6246</v>
      </c>
      <c r="D1818" s="9" t="s">
        <v>6247</v>
      </c>
      <c r="E1818" s="10" t="str">
        <f>HYPERLINK("https://twitter.com/_bacedifogu/status/1069359477747605506","1069359477747605506")</f>
        <v>1069359477747605506</v>
      </c>
      <c r="F1818" s="12"/>
      <c r="G1818" s="12"/>
      <c r="H1818" s="12"/>
      <c r="I1818" s="13">
        <v>0</v>
      </c>
      <c r="J1818" s="13">
        <v>0</v>
      </c>
      <c r="K1818" s="14" t="str">
        <f>HYPERLINK("http://twitter.com","Twitter Web Client")</f>
        <v>Twitter Web Client</v>
      </c>
      <c r="L1818" s="13">
        <v>135</v>
      </c>
      <c r="M1818" s="13">
        <v>117</v>
      </c>
      <c r="N1818" s="13">
        <v>3</v>
      </c>
      <c r="O1818" s="15"/>
      <c r="P1818" s="6">
        <v>40554.999108796299</v>
      </c>
      <c r="Q1818" s="16" t="s">
        <v>6248</v>
      </c>
      <c r="R1818" s="17" t="s">
        <v>6249</v>
      </c>
      <c r="S1818" s="12"/>
      <c r="T1818" s="12"/>
      <c r="U1818" s="10" t="str">
        <f>HYPERLINK("https://pbs.twimg.com/profile_images/1025144686913183744/AIBinxFF.jpg","View")</f>
        <v>View</v>
      </c>
    </row>
    <row r="1819" spans="1:21" ht="20.399999999999999">
      <c r="A1819" s="6">
        <v>43436.983113425929</v>
      </c>
      <c r="B1819" s="7" t="str">
        <f>HYPERLINK("https://twitter.com/PabloBG27","@PabloBG27")</f>
        <v>@PabloBG27</v>
      </c>
      <c r="C1819" s="8" t="s">
        <v>6250</v>
      </c>
      <c r="D1819" s="9" t="s">
        <v>6251</v>
      </c>
      <c r="E1819" s="10" t="str">
        <f>HYPERLINK("https://twitter.com/PabloBG27/status/1069359474677293056","1069359474677293056")</f>
        <v>1069359474677293056</v>
      </c>
      <c r="F1819" s="12"/>
      <c r="G1819" s="11" t="s">
        <v>6252</v>
      </c>
      <c r="H1819" s="12"/>
      <c r="I1819" s="13">
        <v>0</v>
      </c>
      <c r="J1819" s="13">
        <v>0</v>
      </c>
      <c r="K1819" s="14" t="str">
        <f>HYPERLINK("http://twitter.com/download/iphone","Twitter for iPhone")</f>
        <v>Twitter for iPhone</v>
      </c>
      <c r="L1819" s="13">
        <v>597</v>
      </c>
      <c r="M1819" s="13">
        <v>357</v>
      </c>
      <c r="N1819" s="13">
        <v>20</v>
      </c>
      <c r="O1819" s="15"/>
      <c r="P1819" s="6">
        <v>40795.128391203703</v>
      </c>
      <c r="Q1819" s="16" t="s">
        <v>735</v>
      </c>
      <c r="R1819" s="17" t="s">
        <v>6253</v>
      </c>
      <c r="S1819" s="11" t="s">
        <v>6254</v>
      </c>
      <c r="T1819" s="12"/>
      <c r="U1819" s="10" t="str">
        <f>HYPERLINK("https://pbs.twimg.com/profile_images/1066464506635800577/KTRgGjE_.jpg","View")</f>
        <v>View</v>
      </c>
    </row>
    <row r="1820" spans="1:21" ht="40.799999999999997">
      <c r="A1820" s="6">
        <v>43436.983113425929</v>
      </c>
      <c r="B1820" s="7" t="str">
        <f>HYPERLINK("https://twitter.com/jonatanml","@jonatanml")</f>
        <v>@jonatanml</v>
      </c>
      <c r="C1820" s="8" t="s">
        <v>6255</v>
      </c>
      <c r="D1820" s="9" t="s">
        <v>6256</v>
      </c>
      <c r="E1820" s="10" t="str">
        <f>HYPERLINK("https://twitter.com/jonatanml/status/1069359474161401857","1069359474161401857")</f>
        <v>1069359474161401857</v>
      </c>
      <c r="F1820" s="11" t="s">
        <v>6257</v>
      </c>
      <c r="G1820" s="12"/>
      <c r="H1820" s="12"/>
      <c r="I1820" s="13">
        <v>4</v>
      </c>
      <c r="J1820" s="13">
        <v>10</v>
      </c>
      <c r="K1820" s="14" t="str">
        <f>HYPERLINK("http://www.facebook.com/twitter","Facebook")</f>
        <v>Facebook</v>
      </c>
      <c r="L1820" s="13">
        <v>958</v>
      </c>
      <c r="M1820" s="13">
        <v>923</v>
      </c>
      <c r="N1820" s="13">
        <v>26</v>
      </c>
      <c r="O1820" s="15"/>
      <c r="P1820" s="6">
        <v>40298.85864583333</v>
      </c>
      <c r="Q1820" s="16" t="s">
        <v>6258</v>
      </c>
      <c r="R1820" s="17" t="s">
        <v>6259</v>
      </c>
      <c r="S1820" s="12"/>
      <c r="T1820" s="12"/>
      <c r="U1820" s="10" t="str">
        <f>HYPERLINK("https://pbs.twimg.com/profile_images/924216738568376321/sKv8lJuT.jpg","View")</f>
        <v>View</v>
      </c>
    </row>
    <row r="1821" spans="1:21" ht="40.799999999999997">
      <c r="A1821" s="6">
        <v>43436.983078703706</v>
      </c>
      <c r="B1821" s="7" t="str">
        <f>HYPERLINK("https://twitter.com/PeioHR","@PeioHR")</f>
        <v>@PeioHR</v>
      </c>
      <c r="C1821" s="8" t="s">
        <v>5514</v>
      </c>
      <c r="D1821" s="9" t="s">
        <v>6260</v>
      </c>
      <c r="E1821" s="10" t="str">
        <f>HYPERLINK("https://twitter.com/PeioHR/status/1069359464283889664","1069359464283889664")</f>
        <v>1069359464283889664</v>
      </c>
      <c r="F1821" s="12"/>
      <c r="G1821" s="11" t="s">
        <v>6261</v>
      </c>
      <c r="H1821" s="12"/>
      <c r="I1821" s="13">
        <v>5</v>
      </c>
      <c r="J1821" s="13">
        <v>16</v>
      </c>
      <c r="K1821" s="14" t="str">
        <f t="shared" ref="K1821:K1825" si="312">HYPERLINK("http://twitter.com/download/iphone","Twitter for iPhone")</f>
        <v>Twitter for iPhone</v>
      </c>
      <c r="L1821" s="13">
        <v>12362</v>
      </c>
      <c r="M1821" s="13">
        <v>497</v>
      </c>
      <c r="N1821" s="13">
        <v>360</v>
      </c>
      <c r="O1821" s="15"/>
      <c r="P1821" s="6">
        <v>41008.866805555554</v>
      </c>
      <c r="Q1821" s="12"/>
      <c r="R1821" s="17" t="s">
        <v>5517</v>
      </c>
      <c r="S1821" s="12"/>
      <c r="T1821" s="12"/>
      <c r="U1821" s="10" t="str">
        <f>HYPERLINK("https://pbs.twimg.com/profile_images/1014228137348091905/Abb9Iab3.jpg","View")</f>
        <v>View</v>
      </c>
    </row>
    <row r="1822" spans="1:21" ht="40.799999999999997">
      <c r="A1822" s="6">
        <v>43436.983055555553</v>
      </c>
      <c r="B1822" s="7" t="str">
        <f>HYPERLINK("https://twitter.com/LaVirgenSoy","@LaVirgenSoy")</f>
        <v>@LaVirgenSoy</v>
      </c>
      <c r="C1822" s="8" t="s">
        <v>4921</v>
      </c>
      <c r="D1822" s="9" t="s">
        <v>6262</v>
      </c>
      <c r="E1822" s="10" t="str">
        <f>HYPERLINK("https://twitter.com/LaVirgenSoy/status/1069359454913732611","1069359454913732611")</f>
        <v>1069359454913732611</v>
      </c>
      <c r="F1822" s="12"/>
      <c r="G1822" s="12"/>
      <c r="H1822" s="12"/>
      <c r="I1822" s="13">
        <v>1</v>
      </c>
      <c r="J1822" s="13">
        <v>5</v>
      </c>
      <c r="K1822" s="14" t="str">
        <f t="shared" si="312"/>
        <v>Twitter for iPhone</v>
      </c>
      <c r="L1822" s="13">
        <v>113</v>
      </c>
      <c r="M1822" s="13">
        <v>74</v>
      </c>
      <c r="N1822" s="13">
        <v>3</v>
      </c>
      <c r="O1822" s="15"/>
      <c r="P1822" s="6">
        <v>43066.088506944448</v>
      </c>
      <c r="Q1822" s="16" t="s">
        <v>4923</v>
      </c>
      <c r="R1822" s="17" t="s">
        <v>4924</v>
      </c>
      <c r="S1822" s="12"/>
      <c r="T1822" s="12"/>
      <c r="U1822" s="10" t="str">
        <f>HYPERLINK("https://pbs.twimg.com/profile_images/1069694955206127616/osQWTAhT.jpg","View")</f>
        <v>View</v>
      </c>
    </row>
    <row r="1823" spans="1:21" ht="51">
      <c r="A1823" s="6">
        <v>43436.983055555553</v>
      </c>
      <c r="B1823" s="7" t="str">
        <f>HYPERLINK("https://twitter.com/raquelgodos","@raquelgodos")</f>
        <v>@raquelgodos</v>
      </c>
      <c r="C1823" s="8" t="s">
        <v>6263</v>
      </c>
      <c r="D1823" s="9" t="s">
        <v>6264</v>
      </c>
      <c r="E1823" s="10" t="str">
        <f>HYPERLINK("https://twitter.com/raquelgodos/status/1069359454334971905","1069359454334971905")</f>
        <v>1069359454334971905</v>
      </c>
      <c r="F1823" s="12"/>
      <c r="G1823" s="12"/>
      <c r="H1823" s="12"/>
      <c r="I1823" s="13">
        <v>0</v>
      </c>
      <c r="J1823" s="13">
        <v>0</v>
      </c>
      <c r="K1823" s="14" t="str">
        <f t="shared" si="312"/>
        <v>Twitter for iPhone</v>
      </c>
      <c r="L1823" s="13">
        <v>2145</v>
      </c>
      <c r="M1823" s="13">
        <v>1056</v>
      </c>
      <c r="N1823" s="13">
        <v>90</v>
      </c>
      <c r="O1823" s="15"/>
      <c r="P1823" s="6">
        <v>40502.957939814813</v>
      </c>
      <c r="Q1823" s="16" t="s">
        <v>3679</v>
      </c>
      <c r="R1823" s="17" t="s">
        <v>6265</v>
      </c>
      <c r="S1823" s="11" t="s">
        <v>6266</v>
      </c>
      <c r="T1823" s="12"/>
      <c r="U1823" s="10" t="str">
        <f>HYPERLINK("https://pbs.twimg.com/profile_images/972204656796536833/WUlfiLAJ.jpg","View")</f>
        <v>View</v>
      </c>
    </row>
    <row r="1824" spans="1:21" ht="20.399999999999999">
      <c r="A1824" s="6">
        <v>43436.983032407406</v>
      </c>
      <c r="B1824" s="7" t="str">
        <f>HYPERLINK("https://twitter.com/MonterrubioManu","@MonterrubioManu")</f>
        <v>@MonterrubioManu</v>
      </c>
      <c r="C1824" s="8" t="s">
        <v>6267</v>
      </c>
      <c r="D1824" s="9" t="s">
        <v>6268</v>
      </c>
      <c r="E1824" s="10" t="str">
        <f>HYPERLINK("https://twitter.com/MonterrubioManu/status/1069359445086543872","1069359445086543872")</f>
        <v>1069359445086543872</v>
      </c>
      <c r="F1824" s="12"/>
      <c r="G1824" s="11" t="s">
        <v>6269</v>
      </c>
      <c r="H1824" s="12"/>
      <c r="I1824" s="13">
        <v>0</v>
      </c>
      <c r="J1824" s="13">
        <v>1</v>
      </c>
      <c r="K1824" s="14" t="str">
        <f t="shared" si="312"/>
        <v>Twitter for iPhone</v>
      </c>
      <c r="L1824" s="13">
        <v>123</v>
      </c>
      <c r="M1824" s="13">
        <v>71</v>
      </c>
      <c r="N1824" s="13">
        <v>6</v>
      </c>
      <c r="O1824" s="15"/>
      <c r="P1824" s="6">
        <v>41617.859027777777</v>
      </c>
      <c r="Q1824" s="16" t="s">
        <v>6270</v>
      </c>
      <c r="R1824" s="17" t="s">
        <v>6271</v>
      </c>
      <c r="S1824" s="12"/>
      <c r="T1824" s="12"/>
      <c r="U1824" s="10" t="str">
        <f>HYPERLINK("https://pbs.twimg.com/profile_images/618366034282684416/YYJMylN0.jpg","View")</f>
        <v>View</v>
      </c>
    </row>
    <row r="1825" spans="1:21" ht="13.2">
      <c r="A1825" s="6">
        <v>43436.982997685191</v>
      </c>
      <c r="B1825" s="7" t="str">
        <f>HYPERLINK("https://twitter.com/julslorentep","@julslorentep")</f>
        <v>@julslorentep</v>
      </c>
      <c r="C1825" s="8" t="s">
        <v>6272</v>
      </c>
      <c r="D1825" s="9" t="s">
        <v>6273</v>
      </c>
      <c r="E1825" s="10" t="str">
        <f>HYPERLINK("https://twitter.com/julslorentep/status/1069359433480892417","1069359433480892417")</f>
        <v>1069359433480892417</v>
      </c>
      <c r="F1825" s="12"/>
      <c r="G1825" s="12"/>
      <c r="H1825" s="12"/>
      <c r="I1825" s="13">
        <v>0</v>
      </c>
      <c r="J1825" s="13">
        <v>0</v>
      </c>
      <c r="K1825" s="14" t="str">
        <f t="shared" si="312"/>
        <v>Twitter for iPhone</v>
      </c>
      <c r="L1825" s="13">
        <v>332</v>
      </c>
      <c r="M1825" s="13">
        <v>311</v>
      </c>
      <c r="N1825" s="13">
        <v>1</v>
      </c>
      <c r="O1825" s="15"/>
      <c r="P1825" s="6">
        <v>41788.67900462963</v>
      </c>
      <c r="Q1825" s="16" t="s">
        <v>6274</v>
      </c>
      <c r="R1825" s="17" t="s">
        <v>6275</v>
      </c>
      <c r="S1825" s="12"/>
      <c r="T1825" s="12"/>
      <c r="U1825" s="10" t="str">
        <f>HYPERLINK("https://pbs.twimg.com/profile_images/1035247676273639425/1IO8i7p5.jpg","View")</f>
        <v>View</v>
      </c>
    </row>
    <row r="1826" spans="1:21" ht="30.6">
      <c r="A1826" s="6">
        <v>43436.982928240745</v>
      </c>
      <c r="B1826" s="7" t="str">
        <f>HYPERLINK("https://twitter.com/loquepajque","@loquepajque")</f>
        <v>@loquepajque</v>
      </c>
      <c r="C1826" s="8" t="s">
        <v>6276</v>
      </c>
      <c r="D1826" s="9" t="s">
        <v>6277</v>
      </c>
      <c r="E1826" s="10" t="str">
        <f>HYPERLINK("https://twitter.com/loquepajque/status/1069359410089246721","1069359410089246721")</f>
        <v>1069359410089246721</v>
      </c>
      <c r="F1826" s="12"/>
      <c r="G1826" s="12"/>
      <c r="H1826" s="12"/>
      <c r="I1826" s="13">
        <v>0</v>
      </c>
      <c r="J1826" s="13">
        <v>2</v>
      </c>
      <c r="K1826" s="14" t="str">
        <f>HYPERLINK("https://about.twitter.com/products/tweetdeck","TweetDeck")</f>
        <v>TweetDeck</v>
      </c>
      <c r="L1826" s="13">
        <v>1611</v>
      </c>
      <c r="M1826" s="13">
        <v>1276</v>
      </c>
      <c r="N1826" s="13">
        <v>101</v>
      </c>
      <c r="O1826" s="15"/>
      <c r="P1826" s="6">
        <v>40323.704398148147</v>
      </c>
      <c r="Q1826" s="16" t="s">
        <v>6278</v>
      </c>
      <c r="R1826" s="17" t="s">
        <v>6279</v>
      </c>
      <c r="S1826" s="11" t="s">
        <v>6280</v>
      </c>
      <c r="T1826" s="12"/>
      <c r="U1826" s="10" t="str">
        <f>HYPERLINK("https://pbs.twimg.com/profile_images/964819241483501574/FFbIF5H0.jpg","View")</f>
        <v>View</v>
      </c>
    </row>
    <row r="1827" spans="1:21" ht="20.399999999999999">
      <c r="A1827" s="6">
        <v>43436.982905092591</v>
      </c>
      <c r="B1827" s="7" t="str">
        <f>HYPERLINK("https://twitter.com/javimadronal","@javimadronal")</f>
        <v>@javimadronal</v>
      </c>
      <c r="C1827" s="8" t="s">
        <v>3643</v>
      </c>
      <c r="D1827" s="9" t="s">
        <v>6281</v>
      </c>
      <c r="E1827" s="10" t="str">
        <f>HYPERLINK("https://twitter.com/javimadronal/status/1069359401423831042","1069359401423831042")</f>
        <v>1069359401423831042</v>
      </c>
      <c r="F1827" s="12"/>
      <c r="G1827" s="12"/>
      <c r="H1827" s="12"/>
      <c r="I1827" s="13">
        <v>0</v>
      </c>
      <c r="J1827" s="13">
        <v>2</v>
      </c>
      <c r="K1827" s="14" t="str">
        <f>HYPERLINK("http://twitter.com","Twitter Web Client")</f>
        <v>Twitter Web Client</v>
      </c>
      <c r="L1827" s="13">
        <v>95</v>
      </c>
      <c r="M1827" s="13">
        <v>376</v>
      </c>
      <c r="N1827" s="13">
        <v>1</v>
      </c>
      <c r="O1827" s="15"/>
      <c r="P1827" s="6">
        <v>41856.755555555559</v>
      </c>
      <c r="Q1827" s="12"/>
      <c r="R1827" s="17" t="s">
        <v>3645</v>
      </c>
      <c r="S1827" s="11" t="s">
        <v>3646</v>
      </c>
      <c r="T1827" s="12"/>
      <c r="U1827" s="10" t="str">
        <f>HYPERLINK("https://pbs.twimg.com/profile_images/501064687040331776/MDyWsf7W.jpeg","View")</f>
        <v>View</v>
      </c>
    </row>
    <row r="1828" spans="1:21" ht="20.399999999999999">
      <c r="A1828" s="6">
        <v>43436.982881944445</v>
      </c>
      <c r="B1828" s="7" t="str">
        <f>HYPERLINK("https://twitter.com/pamplinero","@pamplinero")</f>
        <v>@pamplinero</v>
      </c>
      <c r="C1828" s="8" t="s">
        <v>6283</v>
      </c>
      <c r="D1828" s="9" t="s">
        <v>6284</v>
      </c>
      <c r="E1828" s="10" t="str">
        <f>HYPERLINK("https://twitter.com/pamplinero/status/1069359393400152065","1069359393400152065")</f>
        <v>1069359393400152065</v>
      </c>
      <c r="F1828" s="12"/>
      <c r="G1828" s="12"/>
      <c r="H1828" s="12"/>
      <c r="I1828" s="13">
        <v>0</v>
      </c>
      <c r="J1828" s="13">
        <v>11</v>
      </c>
      <c r="K1828" s="14" t="str">
        <f>HYPERLINK("http://twitter.com/download/iphone","Twitter for iPhone")</f>
        <v>Twitter for iPhone</v>
      </c>
      <c r="L1828" s="13">
        <v>10106</v>
      </c>
      <c r="M1828" s="13">
        <v>1454</v>
      </c>
      <c r="N1828" s="13">
        <v>520</v>
      </c>
      <c r="O1828" s="15"/>
      <c r="P1828" s="6">
        <v>39751.807870370372</v>
      </c>
      <c r="Q1828" s="16" t="s">
        <v>6285</v>
      </c>
      <c r="R1828" s="17" t="s">
        <v>6286</v>
      </c>
      <c r="S1828" s="12"/>
      <c r="T1828" s="12"/>
      <c r="U1828" s="10" t="str">
        <f>HYPERLINK("https://pbs.twimg.com/profile_images/458675096400723968/TJKfCDHP.jpeg","View")</f>
        <v>View</v>
      </c>
    </row>
    <row r="1829" spans="1:21" ht="40.799999999999997">
      <c r="A1829" s="6">
        <v>43436.982847222222</v>
      </c>
      <c r="B1829" s="7" t="str">
        <f>HYPERLINK("https://twitter.com/CarlosyAndaluz","@CarlosyAndaluz")</f>
        <v>@CarlosyAndaluz</v>
      </c>
      <c r="C1829" s="8" t="s">
        <v>6287</v>
      </c>
      <c r="D1829" s="9" t="s">
        <v>6288</v>
      </c>
      <c r="E1829" s="10" t="str">
        <f>HYPERLINK("https://twitter.com/CarlosyAndaluz/status/1069359380741664769","1069359380741664769")</f>
        <v>1069359380741664769</v>
      </c>
      <c r="F1829" s="12"/>
      <c r="G1829" s="12"/>
      <c r="H1829" s="12"/>
      <c r="I1829" s="13">
        <v>0</v>
      </c>
      <c r="J1829" s="13">
        <v>1</v>
      </c>
      <c r="K1829" s="14" t="str">
        <f>HYPERLINK("https://about.twitter.com/products/tweetdeck","TweetDeck")</f>
        <v>TweetDeck</v>
      </c>
      <c r="L1829" s="13">
        <v>3282</v>
      </c>
      <c r="M1829" s="13">
        <v>2809</v>
      </c>
      <c r="N1829" s="13">
        <v>41</v>
      </c>
      <c r="O1829" s="15"/>
      <c r="P1829" s="6">
        <v>40692.512337962966</v>
      </c>
      <c r="Q1829" s="16" t="s">
        <v>583</v>
      </c>
      <c r="R1829" s="17" t="s">
        <v>6289</v>
      </c>
      <c r="S1829" s="11" t="s">
        <v>6290</v>
      </c>
      <c r="T1829" s="12"/>
      <c r="U1829" s="10" t="str">
        <f>HYPERLINK("https://pbs.twimg.com/profile_images/1069617575171117056/DoHtI4ro.jpg","View")</f>
        <v>View</v>
      </c>
    </row>
    <row r="1830" spans="1:21" ht="13.2">
      <c r="A1830" s="6">
        <v>43436.982824074075</v>
      </c>
      <c r="B1830" s="7" t="str">
        <f>HYPERLINK("https://twitter.com/dangarcar","@dangarcar")</f>
        <v>@dangarcar</v>
      </c>
      <c r="C1830" s="8" t="s">
        <v>6291</v>
      </c>
      <c r="D1830" s="9" t="s">
        <v>6292</v>
      </c>
      <c r="E1830" s="10" t="str">
        <f>HYPERLINK("https://twitter.com/dangarcar/status/1069359370914406401","1069359370914406401")</f>
        <v>1069359370914406401</v>
      </c>
      <c r="F1830" s="12"/>
      <c r="G1830" s="12"/>
      <c r="H1830" s="12"/>
      <c r="I1830" s="13">
        <v>0</v>
      </c>
      <c r="J1830" s="13">
        <v>0</v>
      </c>
      <c r="K1830" s="14" t="str">
        <f>HYPERLINK("http://twitter.com/download/android","Twitter for Android")</f>
        <v>Twitter for Android</v>
      </c>
      <c r="L1830" s="13">
        <v>513</v>
      </c>
      <c r="M1830" s="13">
        <v>1920</v>
      </c>
      <c r="N1830" s="13">
        <v>6</v>
      </c>
      <c r="O1830" s="15"/>
      <c r="P1830" s="6">
        <v>40717.843356481484</v>
      </c>
      <c r="Q1830" s="16" t="s">
        <v>389</v>
      </c>
      <c r="R1830" s="17" t="s">
        <v>6293</v>
      </c>
      <c r="S1830" s="12"/>
      <c r="T1830" s="12"/>
      <c r="U1830" s="10" t="str">
        <f>HYPERLINK("https://pbs.twimg.com/profile_images/2664115641/a84dea9684dc3f8ec513fad65e031700.jpeg","View")</f>
        <v>View</v>
      </c>
    </row>
    <row r="1831" spans="1:21" ht="20.399999999999999">
      <c r="A1831" s="6">
        <v>43436.982812499999</v>
      </c>
      <c r="B1831" s="7" t="str">
        <f>HYPERLINK("https://twitter.com/elektrogeist_","@elektrogeist_")</f>
        <v>@elektrogeist_</v>
      </c>
      <c r="C1831" s="8" t="s">
        <v>6294</v>
      </c>
      <c r="D1831" s="9" t="s">
        <v>6295</v>
      </c>
      <c r="E1831" s="10" t="str">
        <f>HYPERLINK("https://twitter.com/elektrogeist_/status/1069359365747023879","1069359365747023879")</f>
        <v>1069359365747023879</v>
      </c>
      <c r="F1831" s="12"/>
      <c r="G1831" s="12"/>
      <c r="H1831" s="12"/>
      <c r="I1831" s="13">
        <v>0</v>
      </c>
      <c r="J1831" s="13">
        <v>0</v>
      </c>
      <c r="K1831" s="14" t="str">
        <f>HYPERLINK("https://about.twitter.com/products/tweetdeck","TweetDeck")</f>
        <v>TweetDeck</v>
      </c>
      <c r="L1831" s="13">
        <v>1504</v>
      </c>
      <c r="M1831" s="13">
        <v>323</v>
      </c>
      <c r="N1831" s="13">
        <v>69</v>
      </c>
      <c r="O1831" s="15"/>
      <c r="P1831" s="6">
        <v>41702.75409722222</v>
      </c>
      <c r="Q1831" s="16" t="s">
        <v>6296</v>
      </c>
      <c r="R1831" s="20"/>
      <c r="S1831" s="11" t="s">
        <v>6297</v>
      </c>
      <c r="T1831" s="12"/>
      <c r="U1831" s="10" t="str">
        <f>HYPERLINK("https://pbs.twimg.com/profile_images/1069343526595502081/1f1GBhl2.jpg","View")</f>
        <v>View</v>
      </c>
    </row>
    <row r="1832" spans="1:21" ht="30.6">
      <c r="A1832" s="6">
        <v>43436.982812499999</v>
      </c>
      <c r="B1832" s="7" t="str">
        <f>HYPERLINK("https://twitter.com/MASolerNeira","@MASolerNeira")</f>
        <v>@MASolerNeira</v>
      </c>
      <c r="C1832" s="8" t="s">
        <v>6298</v>
      </c>
      <c r="D1832" s="9" t="s">
        <v>6299</v>
      </c>
      <c r="E1832" s="10" t="str">
        <f>HYPERLINK("https://twitter.com/MASolerNeira/status/1069359365658939393","1069359365658939393")</f>
        <v>1069359365658939393</v>
      </c>
      <c r="F1832" s="12"/>
      <c r="G1832" s="12"/>
      <c r="H1832" s="12"/>
      <c r="I1832" s="13">
        <v>0</v>
      </c>
      <c r="J1832" s="13">
        <v>4</v>
      </c>
      <c r="K1832" s="14" t="str">
        <f>HYPERLINK("http://twitter.com/download/iphone","Twitter for iPhone")</f>
        <v>Twitter for iPhone</v>
      </c>
      <c r="L1832" s="13">
        <v>1892</v>
      </c>
      <c r="M1832" s="13">
        <v>1331</v>
      </c>
      <c r="N1832" s="13">
        <v>41</v>
      </c>
      <c r="O1832" s="15"/>
      <c r="P1832" s="6">
        <v>40725.710798611108</v>
      </c>
      <c r="Q1832" s="16" t="s">
        <v>1455</v>
      </c>
      <c r="R1832" s="17" t="s">
        <v>6300</v>
      </c>
      <c r="S1832" s="12"/>
      <c r="T1832" s="12"/>
      <c r="U1832" s="10" t="str">
        <f>HYPERLINK("https://pbs.twimg.com/profile_images/1035535380668272640/qYP4N97y.jpg","View")</f>
        <v>View</v>
      </c>
    </row>
    <row r="1833" spans="1:21" ht="20.399999999999999">
      <c r="A1833" s="6">
        <v>43436.982789351852</v>
      </c>
      <c r="B1833" s="7" t="str">
        <f>HYPERLINK("https://twitter.com/NoimanC","@NoimanC")</f>
        <v>@NoimanC</v>
      </c>
      <c r="C1833" s="8" t="s">
        <v>6301</v>
      </c>
      <c r="D1833" s="9" t="s">
        <v>6302</v>
      </c>
      <c r="E1833" s="10" t="str">
        <f>HYPERLINK("https://twitter.com/NoimanC/status/1069359358109208577","1069359358109208577")</f>
        <v>1069359358109208577</v>
      </c>
      <c r="F1833" s="12"/>
      <c r="G1833" s="12"/>
      <c r="H1833" s="12"/>
      <c r="I1833" s="13">
        <v>0</v>
      </c>
      <c r="J1833" s="13">
        <v>0</v>
      </c>
      <c r="K1833" s="14" t="str">
        <f t="shared" ref="K1833:K1834" si="313">HYPERLINK("http://twitter.com/download/android","Twitter for Android")</f>
        <v>Twitter for Android</v>
      </c>
      <c r="L1833" s="13">
        <v>13</v>
      </c>
      <c r="M1833" s="13">
        <v>185</v>
      </c>
      <c r="N1833" s="13">
        <v>0</v>
      </c>
      <c r="O1833" s="15"/>
      <c r="P1833" s="6">
        <v>43125.008587962962</v>
      </c>
      <c r="Q1833" s="16" t="s">
        <v>6303</v>
      </c>
      <c r="R1833" s="17" t="s">
        <v>6304</v>
      </c>
      <c r="S1833" s="12"/>
      <c r="T1833" s="12"/>
      <c r="U1833" s="10" t="str">
        <f>HYPERLINK("https://pbs.twimg.com/profile_images/993983538306396161/2SphbPqF.jpg","View")</f>
        <v>View</v>
      </c>
    </row>
    <row r="1834" spans="1:21" ht="30.6">
      <c r="A1834" s="6">
        <v>43436.982789351852</v>
      </c>
      <c r="B1834" s="7" t="str">
        <f>HYPERLINK("https://twitter.com/MarinaLopezGlee","@MarinaLopezGlee")</f>
        <v>@MarinaLopezGlee</v>
      </c>
      <c r="C1834" s="8" t="s">
        <v>6305</v>
      </c>
      <c r="D1834" s="9" t="s">
        <v>6306</v>
      </c>
      <c r="E1834" s="10" t="str">
        <f>HYPERLINK("https://twitter.com/MarinaLopezGlee/status/1069359358088220673","1069359358088220673")</f>
        <v>1069359358088220673</v>
      </c>
      <c r="F1834" s="12"/>
      <c r="G1834" s="12"/>
      <c r="H1834" s="12"/>
      <c r="I1834" s="13">
        <v>0</v>
      </c>
      <c r="J1834" s="13">
        <v>0</v>
      </c>
      <c r="K1834" s="14" t="str">
        <f t="shared" si="313"/>
        <v>Twitter for Android</v>
      </c>
      <c r="L1834" s="13">
        <v>454</v>
      </c>
      <c r="M1834" s="13">
        <v>1172</v>
      </c>
      <c r="N1834" s="13">
        <v>5</v>
      </c>
      <c r="O1834" s="15"/>
      <c r="P1834" s="6">
        <v>40969.893784722226</v>
      </c>
      <c r="Q1834" s="16" t="s">
        <v>86</v>
      </c>
      <c r="R1834" s="17" t="s">
        <v>6307</v>
      </c>
      <c r="S1834" s="12"/>
      <c r="T1834" s="12"/>
      <c r="U1834" s="10" t="str">
        <f>HYPERLINK("https://pbs.twimg.com/profile_images/1008505590086332417/r5cUE5T2.jpg","View")</f>
        <v>View</v>
      </c>
    </row>
    <row r="1835" spans="1:21" ht="40.799999999999997">
      <c r="A1835" s="6">
        <v>43436.982754629629</v>
      </c>
      <c r="B1835" s="7" t="str">
        <f>HYPERLINK("https://twitter.com/carserranoti","@carserranoti")</f>
        <v>@carserranoti</v>
      </c>
      <c r="C1835" s="8" t="s">
        <v>6308</v>
      </c>
      <c r="D1835" s="9" t="s">
        <v>6309</v>
      </c>
      <c r="E1835" s="10" t="str">
        <f>HYPERLINK("https://twitter.com/carserranoti/status/1069359345882796034","1069359345882796034")</f>
        <v>1069359345882796034</v>
      </c>
      <c r="F1835" s="12"/>
      <c r="G1835" s="12"/>
      <c r="H1835" s="12"/>
      <c r="I1835" s="13">
        <v>0</v>
      </c>
      <c r="J1835" s="13">
        <v>0</v>
      </c>
      <c r="K1835" s="14" t="str">
        <f>HYPERLINK("https://mobile.twitter.com","Twitter Lite")</f>
        <v>Twitter Lite</v>
      </c>
      <c r="L1835" s="13">
        <v>309</v>
      </c>
      <c r="M1835" s="13">
        <v>528</v>
      </c>
      <c r="N1835" s="13">
        <v>15</v>
      </c>
      <c r="O1835" s="15"/>
      <c r="P1835" s="6">
        <v>41294.979467592595</v>
      </c>
      <c r="Q1835" s="12"/>
      <c r="R1835" s="17" t="s">
        <v>6310</v>
      </c>
      <c r="S1835" s="11" t="s">
        <v>6311</v>
      </c>
      <c r="T1835" s="12"/>
      <c r="U1835" s="10" t="str">
        <f>HYPERLINK("https://pbs.twimg.com/profile_images/810313703170117633/KGM6HEpa.jpg","View")</f>
        <v>View</v>
      </c>
    </row>
    <row r="1836" spans="1:21" ht="40.799999999999997">
      <c r="A1836" s="6">
        <v>43436.982754629629</v>
      </c>
      <c r="B1836" s="7" t="str">
        <f>HYPERLINK("https://twitter.com/ramonlobo","@ramonlobo")</f>
        <v>@ramonlobo</v>
      </c>
      <c r="C1836" s="8" t="s">
        <v>6312</v>
      </c>
      <c r="D1836" s="9" t="s">
        <v>6313</v>
      </c>
      <c r="E1836" s="10" t="str">
        <f>HYPERLINK("https://twitter.com/ramonlobo/status/1069359344813318146","1069359344813318146")</f>
        <v>1069359344813318146</v>
      </c>
      <c r="F1836" s="12"/>
      <c r="G1836" s="12"/>
      <c r="H1836" s="12"/>
      <c r="I1836" s="13">
        <v>95</v>
      </c>
      <c r="J1836" s="13">
        <v>234</v>
      </c>
      <c r="K1836" s="14" t="str">
        <f t="shared" ref="K1836:K1837" si="314">HYPERLINK("http://twitter.com/download/iphone","Twitter for iPhone")</f>
        <v>Twitter for iPhone</v>
      </c>
      <c r="L1836" s="13">
        <v>115607</v>
      </c>
      <c r="M1836" s="13">
        <v>507</v>
      </c>
      <c r="N1836" s="13">
        <v>3102</v>
      </c>
      <c r="O1836" s="15"/>
      <c r="P1836" s="6">
        <v>39834.702060185184</v>
      </c>
      <c r="Q1836" s="16" t="s">
        <v>86</v>
      </c>
      <c r="R1836" s="17" t="s">
        <v>6314</v>
      </c>
      <c r="S1836" s="11" t="s">
        <v>6315</v>
      </c>
      <c r="T1836" s="12"/>
      <c r="U1836" s="10" t="str">
        <f>HYPERLINK("https://pbs.twimg.com/profile_images/1017316210797621248/bvhsWgyf.jpg","View")</f>
        <v>View</v>
      </c>
    </row>
    <row r="1837" spans="1:21" ht="40.799999999999997">
      <c r="A1837" s="6">
        <v>43436.98269675926</v>
      </c>
      <c r="B1837" s="7" t="str">
        <f>HYPERLINK("https://twitter.com/DFD_74","@DFD_74")</f>
        <v>@DFD_74</v>
      </c>
      <c r="C1837" s="8" t="s">
        <v>6316</v>
      </c>
      <c r="D1837" s="9" t="s">
        <v>6317</v>
      </c>
      <c r="E1837" s="10" t="str">
        <f>HYPERLINK("https://twitter.com/DFD_74/status/1069359325657878528","1069359325657878528")</f>
        <v>1069359325657878528</v>
      </c>
      <c r="F1837" s="12"/>
      <c r="G1837" s="12"/>
      <c r="H1837" s="12"/>
      <c r="I1837" s="13">
        <v>0</v>
      </c>
      <c r="J1837" s="13">
        <v>1</v>
      </c>
      <c r="K1837" s="14" t="str">
        <f t="shared" si="314"/>
        <v>Twitter for iPhone</v>
      </c>
      <c r="L1837" s="13">
        <v>460</v>
      </c>
      <c r="M1837" s="13">
        <v>304</v>
      </c>
      <c r="N1837" s="13">
        <v>1</v>
      </c>
      <c r="O1837" s="15"/>
      <c r="P1837" s="6">
        <v>42993.494652777779</v>
      </c>
      <c r="Q1837" s="12"/>
      <c r="R1837" s="17" t="s">
        <v>6318</v>
      </c>
      <c r="S1837" s="12"/>
      <c r="T1837" s="12"/>
      <c r="U1837" s="10" t="str">
        <f>HYPERLINK("https://pbs.twimg.com/profile_images/1051195448940273664/S2bLN6Z0.jpg","View")</f>
        <v>View</v>
      </c>
    </row>
    <row r="1838" spans="1:21" ht="20.399999999999999">
      <c r="A1838" s="6">
        <v>43436.98269675926</v>
      </c>
      <c r="B1838" s="7" t="str">
        <f>HYPERLINK("https://twitter.com/morecar89","@morecar89")</f>
        <v>@morecar89</v>
      </c>
      <c r="C1838" s="8" t="s">
        <v>6319</v>
      </c>
      <c r="D1838" s="9" t="s">
        <v>6320</v>
      </c>
      <c r="E1838" s="10" t="str">
        <f>HYPERLINK("https://twitter.com/morecar89/status/1069359323267166209","1069359323267166209")</f>
        <v>1069359323267166209</v>
      </c>
      <c r="F1838" s="12"/>
      <c r="G1838" s="12"/>
      <c r="H1838" s="12"/>
      <c r="I1838" s="13">
        <v>0</v>
      </c>
      <c r="J1838" s="13">
        <v>0</v>
      </c>
      <c r="K1838" s="14" t="str">
        <f>HYPERLINK("http://twitter.com/download/android","Twitter for Android")</f>
        <v>Twitter for Android</v>
      </c>
      <c r="L1838" s="13">
        <v>389</v>
      </c>
      <c r="M1838" s="13">
        <v>365</v>
      </c>
      <c r="N1838" s="13">
        <v>31</v>
      </c>
      <c r="O1838" s="15"/>
      <c r="P1838" s="6">
        <v>40010.019270833334</v>
      </c>
      <c r="Q1838" s="16" t="s">
        <v>6321</v>
      </c>
      <c r="R1838" s="17" t="s">
        <v>6322</v>
      </c>
      <c r="S1838" s="11" t="s">
        <v>6323</v>
      </c>
      <c r="T1838" s="12"/>
      <c r="U1838" s="10" t="str">
        <f>HYPERLINK("https://pbs.twimg.com/profile_images/602183487202930688/5BWcbCyH.jpg","View")</f>
        <v>View</v>
      </c>
    </row>
    <row r="1839" spans="1:21" ht="40.799999999999997">
      <c r="A1839" s="6">
        <v>43436.982638888891</v>
      </c>
      <c r="B1839" s="7" t="str">
        <f>HYPERLINK("https://twitter.com/CarlosSosa_","@CarlosSosa_")</f>
        <v>@CarlosSosa_</v>
      </c>
      <c r="C1839" s="8" t="s">
        <v>6324</v>
      </c>
      <c r="D1839" s="9" t="s">
        <v>6325</v>
      </c>
      <c r="E1839" s="10" t="str">
        <f>HYPERLINK("https://twitter.com/CarlosSosa_/status/1069359304061403138","1069359304061403138")</f>
        <v>1069359304061403138</v>
      </c>
      <c r="F1839" s="12"/>
      <c r="G1839" s="12"/>
      <c r="H1839" s="12"/>
      <c r="I1839" s="13">
        <v>5</v>
      </c>
      <c r="J1839" s="13">
        <v>15</v>
      </c>
      <c r="K1839" s="14" t="str">
        <f>HYPERLINK("http://twitter.com/download/iphone","Twitter for iPhone")</f>
        <v>Twitter for iPhone</v>
      </c>
      <c r="L1839" s="13">
        <v>8911</v>
      </c>
      <c r="M1839" s="13">
        <v>2003</v>
      </c>
      <c r="N1839" s="13">
        <v>318</v>
      </c>
      <c r="O1839" s="15"/>
      <c r="P1839" s="6">
        <v>39753.946168981478</v>
      </c>
      <c r="Q1839" s="16" t="s">
        <v>175</v>
      </c>
      <c r="R1839" s="17" t="s">
        <v>6326</v>
      </c>
      <c r="S1839" s="11" t="s">
        <v>6327</v>
      </c>
      <c r="T1839" s="12"/>
      <c r="U1839" s="10" t="str">
        <f>HYPERLINK("https://pbs.twimg.com/profile_images/1027137673255895040/hz1_R4Fc.jpg","View")</f>
        <v>View</v>
      </c>
    </row>
    <row r="1840" spans="1:21" ht="30.6">
      <c r="A1840" s="6">
        <v>43436.982604166667</v>
      </c>
      <c r="B1840" s="7" t="str">
        <f>HYPERLINK("https://twitter.com/IgnacioGarcini","@IgnacioGarcini")</f>
        <v>@IgnacioGarcini</v>
      </c>
      <c r="C1840" s="8" t="s">
        <v>6328</v>
      </c>
      <c r="D1840" s="9" t="s">
        <v>6329</v>
      </c>
      <c r="E1840" s="10" t="str">
        <f>HYPERLINK("https://twitter.com/IgnacioGarcini/status/1069359291956629504","1069359291956629504")</f>
        <v>1069359291956629504</v>
      </c>
      <c r="F1840" s="12"/>
      <c r="G1840" s="12"/>
      <c r="H1840" s="12"/>
      <c r="I1840" s="13">
        <v>1</v>
      </c>
      <c r="J1840" s="13">
        <v>1</v>
      </c>
      <c r="K1840" s="14" t="str">
        <f t="shared" ref="K1840:K1842" si="315">HYPERLINK("http://twitter.com/download/android","Twitter for Android")</f>
        <v>Twitter for Android</v>
      </c>
      <c r="L1840" s="13">
        <v>22776</v>
      </c>
      <c r="M1840" s="13">
        <v>14563</v>
      </c>
      <c r="N1840" s="13">
        <v>39</v>
      </c>
      <c r="O1840" s="15"/>
      <c r="P1840" s="6">
        <v>42724.026331018518</v>
      </c>
      <c r="Q1840" s="16" t="s">
        <v>48</v>
      </c>
      <c r="R1840" s="17" t="s">
        <v>6330</v>
      </c>
      <c r="S1840" s="12"/>
      <c r="T1840" s="12"/>
      <c r="U1840" s="10" t="str">
        <f>HYPERLINK("https://pbs.twimg.com/profile_images/1046400251052126208/TFHH9nWV.jpg","View")</f>
        <v>View</v>
      </c>
    </row>
    <row r="1841" spans="1:21" ht="30.6">
      <c r="A1841" s="6">
        <v>43436.982581018514</v>
      </c>
      <c r="B1841" s="7" t="str">
        <f>HYPERLINK("https://twitter.com/israka4u","@israka4u")</f>
        <v>@israka4u</v>
      </c>
      <c r="C1841" s="8" t="s">
        <v>6331</v>
      </c>
      <c r="D1841" s="9" t="s">
        <v>6332</v>
      </c>
      <c r="E1841" s="10" t="str">
        <f>HYPERLINK("https://twitter.com/israka4u/status/1069359281273753602","1069359281273753602")</f>
        <v>1069359281273753602</v>
      </c>
      <c r="F1841" s="12"/>
      <c r="G1841" s="12"/>
      <c r="H1841" s="12"/>
      <c r="I1841" s="13">
        <v>0</v>
      </c>
      <c r="J1841" s="13">
        <v>0</v>
      </c>
      <c r="K1841" s="14" t="str">
        <f t="shared" si="315"/>
        <v>Twitter for Android</v>
      </c>
      <c r="L1841" s="13">
        <v>632</v>
      </c>
      <c r="M1841" s="13">
        <v>741</v>
      </c>
      <c r="N1841" s="13">
        <v>9</v>
      </c>
      <c r="O1841" s="15"/>
      <c r="P1841" s="6">
        <v>40374.565729166665</v>
      </c>
      <c r="Q1841" s="16" t="s">
        <v>6333</v>
      </c>
      <c r="R1841" s="17" t="s">
        <v>6334</v>
      </c>
      <c r="S1841" s="11" t="s">
        <v>6335</v>
      </c>
      <c r="T1841" s="12"/>
      <c r="U1841" s="10" t="str">
        <f>HYPERLINK("https://pbs.twimg.com/profile_images/1027568252229169152/H4OsSjh_.jpg","View")</f>
        <v>View</v>
      </c>
    </row>
    <row r="1842" spans="1:21" ht="40.799999999999997">
      <c r="A1842" s="6">
        <v>43436.982557870375</v>
      </c>
      <c r="B1842" s="7" t="str">
        <f>HYPERLINK("https://twitter.com/Pablanfi","@Pablanfi")</f>
        <v>@Pablanfi</v>
      </c>
      <c r="C1842" s="8" t="s">
        <v>6336</v>
      </c>
      <c r="D1842" s="9" t="s">
        <v>6337</v>
      </c>
      <c r="E1842" s="10" t="str">
        <f>HYPERLINK("https://twitter.com/Pablanfi/status/1069359273409417216","1069359273409417216")</f>
        <v>1069359273409417216</v>
      </c>
      <c r="F1842" s="12"/>
      <c r="G1842" s="12"/>
      <c r="H1842" s="12"/>
      <c r="I1842" s="13">
        <v>0</v>
      </c>
      <c r="J1842" s="13">
        <v>0</v>
      </c>
      <c r="K1842" s="14" t="str">
        <f t="shared" si="315"/>
        <v>Twitter for Android</v>
      </c>
      <c r="L1842" s="13">
        <v>81</v>
      </c>
      <c r="M1842" s="13">
        <v>146</v>
      </c>
      <c r="N1842" s="13">
        <v>1</v>
      </c>
      <c r="O1842" s="15"/>
      <c r="P1842" s="6">
        <v>42198.021550925929</v>
      </c>
      <c r="Q1842" s="16" t="s">
        <v>6338</v>
      </c>
      <c r="R1842" s="17" t="s">
        <v>6339</v>
      </c>
      <c r="S1842" s="12"/>
      <c r="T1842" s="12"/>
      <c r="U1842" s="10" t="str">
        <f>HYPERLINK("https://pbs.twimg.com/profile_images/1009195055683395590/NYCjDszV.jpg","View")</f>
        <v>View</v>
      </c>
    </row>
    <row r="1843" spans="1:21" ht="40.799999999999997">
      <c r="A1843" s="6">
        <v>43436.982546296298</v>
      </c>
      <c r="B1843" s="7" t="str">
        <f>HYPERLINK("https://twitter.com/Eduardo_Villena","@Eduardo_Villena")</f>
        <v>@Eduardo_Villena</v>
      </c>
      <c r="C1843" s="8" t="s">
        <v>6340</v>
      </c>
      <c r="D1843" s="9" t="s">
        <v>6341</v>
      </c>
      <c r="E1843" s="10" t="str">
        <f>HYPERLINK("https://twitter.com/Eduardo_Villena/status/1069359271517798401","1069359271517798401")</f>
        <v>1069359271517798401</v>
      </c>
      <c r="F1843" s="12"/>
      <c r="G1843" s="11" t="s">
        <v>6342</v>
      </c>
      <c r="H1843" s="12"/>
      <c r="I1843" s="13">
        <v>0</v>
      </c>
      <c r="J1843" s="13">
        <v>1</v>
      </c>
      <c r="K1843" s="14" t="str">
        <f>HYPERLINK("http://twitter.com/download/iphone","Twitter for iPhone")</f>
        <v>Twitter for iPhone</v>
      </c>
      <c r="L1843" s="13">
        <v>651</v>
      </c>
      <c r="M1843" s="13">
        <v>1229</v>
      </c>
      <c r="N1843" s="13">
        <v>57</v>
      </c>
      <c r="O1843" s="15"/>
      <c r="P1843" s="6">
        <v>40934.951874999999</v>
      </c>
      <c r="Q1843" s="16" t="s">
        <v>583</v>
      </c>
      <c r="R1843" s="17" t="s">
        <v>6343</v>
      </c>
      <c r="S1843" s="11" t="s">
        <v>6344</v>
      </c>
      <c r="T1843" s="12"/>
      <c r="U1843" s="10" t="str">
        <f>HYPERLINK("https://pbs.twimg.com/profile_images/1783483958/ditotwitter.jpg","View")</f>
        <v>View</v>
      </c>
    </row>
    <row r="1844" spans="1:21" ht="30.6">
      <c r="A1844" s="6">
        <v>43436.982511574075</v>
      </c>
      <c r="B1844" s="7" t="str">
        <f>HYPERLINK("https://twitter.com/PabloGarciaB","@PabloGarciaB")</f>
        <v>@PabloGarciaB</v>
      </c>
      <c r="C1844" s="8" t="s">
        <v>2564</v>
      </c>
      <c r="D1844" s="9" t="s">
        <v>6345</v>
      </c>
      <c r="E1844" s="10" t="str">
        <f>HYPERLINK("https://twitter.com/PabloGarciaB/status/1069359256368029696","1069359256368029696")</f>
        <v>1069359256368029696</v>
      </c>
      <c r="F1844" s="12"/>
      <c r="G1844" s="12"/>
      <c r="H1844" s="12"/>
      <c r="I1844" s="13">
        <v>0</v>
      </c>
      <c r="J1844" s="13">
        <v>3</v>
      </c>
      <c r="K1844" s="14" t="str">
        <f>HYPERLINK("http://twitter.com/download/android","Twitter for Android")</f>
        <v>Twitter for Android</v>
      </c>
      <c r="L1844" s="13">
        <v>1822</v>
      </c>
      <c r="M1844" s="13">
        <v>1199</v>
      </c>
      <c r="N1844" s="13">
        <v>65</v>
      </c>
      <c r="O1844" s="15"/>
      <c r="P1844" s="6">
        <v>40593.88217592593</v>
      </c>
      <c r="Q1844" s="12"/>
      <c r="R1844" s="17" t="s">
        <v>6346</v>
      </c>
      <c r="S1844" s="12"/>
      <c r="T1844" s="12"/>
      <c r="U1844" s="10" t="str">
        <f>HYPERLINK("https://pbs.twimg.com/profile_images/774252573096378368/4_PAjXFz.jpg","View")</f>
        <v>View</v>
      </c>
    </row>
    <row r="1845" spans="1:21" ht="51">
      <c r="A1845" s="6">
        <v>43436.982488425929</v>
      </c>
      <c r="B1845" s="7" t="str">
        <f>HYPERLINK("https://twitter.com/Alex_Roga","@Alex_Roga")</f>
        <v>@Alex_Roga</v>
      </c>
      <c r="C1845" s="8" t="s">
        <v>6347</v>
      </c>
      <c r="D1845" s="9" t="s">
        <v>6348</v>
      </c>
      <c r="E1845" s="10" t="str">
        <f>HYPERLINK("https://twitter.com/Alex_Roga/status/1069359251703955456","1069359251703955456")</f>
        <v>1069359251703955456</v>
      </c>
      <c r="F1845" s="12"/>
      <c r="G1845" s="12"/>
      <c r="H1845" s="12"/>
      <c r="I1845" s="13">
        <v>0</v>
      </c>
      <c r="J1845" s="13">
        <v>1</v>
      </c>
      <c r="K1845" s="14" t="str">
        <f t="shared" ref="K1845:K1847" si="316">HYPERLINK("http://twitter.com/download/iphone","Twitter for iPhone")</f>
        <v>Twitter for iPhone</v>
      </c>
      <c r="L1845" s="13">
        <v>690</v>
      </c>
      <c r="M1845" s="13">
        <v>274</v>
      </c>
      <c r="N1845" s="13">
        <v>40</v>
      </c>
      <c r="O1845" s="15"/>
      <c r="P1845" s="6">
        <v>40406.996145833335</v>
      </c>
      <c r="Q1845" s="16" t="s">
        <v>6349</v>
      </c>
      <c r="R1845" s="17" t="s">
        <v>6350</v>
      </c>
      <c r="S1845" s="11" t="s">
        <v>6351</v>
      </c>
      <c r="T1845" s="12"/>
      <c r="U1845" s="10" t="str">
        <f>HYPERLINK("https://pbs.twimg.com/profile_images/1052691713431666688/VVGPbO93.jpg","View")</f>
        <v>View</v>
      </c>
    </row>
    <row r="1846" spans="1:21" ht="20.399999999999999">
      <c r="A1846" s="6">
        <v>43436.982453703706</v>
      </c>
      <c r="B1846" s="7" t="str">
        <f>HYPERLINK("https://twitter.com/Mx_pow","@Mx_pow")</f>
        <v>@Mx_pow</v>
      </c>
      <c r="C1846" s="8" t="s">
        <v>6352</v>
      </c>
      <c r="D1846" s="9" t="s">
        <v>6353</v>
      </c>
      <c r="E1846" s="10" t="str">
        <f>HYPERLINK("https://twitter.com/Mx_pow/status/1069359238517059584","1069359238517059584")</f>
        <v>1069359238517059584</v>
      </c>
      <c r="F1846" s="12"/>
      <c r="G1846" s="12"/>
      <c r="H1846" s="12"/>
      <c r="I1846" s="13">
        <v>0</v>
      </c>
      <c r="J1846" s="13">
        <v>0</v>
      </c>
      <c r="K1846" s="14" t="str">
        <f t="shared" si="316"/>
        <v>Twitter for iPhone</v>
      </c>
      <c r="L1846" s="13">
        <v>207</v>
      </c>
      <c r="M1846" s="13">
        <v>1083</v>
      </c>
      <c r="N1846" s="13">
        <v>0</v>
      </c>
      <c r="O1846" s="15"/>
      <c r="P1846" s="6">
        <v>40603.48505787037</v>
      </c>
      <c r="Q1846" s="16" t="s">
        <v>6354</v>
      </c>
      <c r="R1846" s="17" t="s">
        <v>6355</v>
      </c>
      <c r="S1846" s="12"/>
      <c r="T1846" s="12"/>
      <c r="U1846" s="10" t="str">
        <f>HYPERLINK("https://pbs.twimg.com/profile_images/927817258155630592/dJAA4606.jpg","View")</f>
        <v>View</v>
      </c>
    </row>
    <row r="1847" spans="1:21" ht="20.399999999999999">
      <c r="A1847" s="6">
        <v>43436.982453703706</v>
      </c>
      <c r="B1847" s="7" t="str">
        <f>HYPERLINK("https://twitter.com/Cocritico1","@Cocritico1")</f>
        <v>@Cocritico1</v>
      </c>
      <c r="C1847" s="8" t="s">
        <v>6356</v>
      </c>
      <c r="D1847" s="9" t="s">
        <v>6357</v>
      </c>
      <c r="E1847" s="10" t="str">
        <f>HYPERLINK("https://twitter.com/Cocritico1/status/1069359237204197376","1069359237204197376")</f>
        <v>1069359237204197376</v>
      </c>
      <c r="F1847" s="12"/>
      <c r="G1847" s="12"/>
      <c r="H1847" s="12"/>
      <c r="I1847" s="13">
        <v>0</v>
      </c>
      <c r="J1847" s="13">
        <v>1</v>
      </c>
      <c r="K1847" s="14" t="str">
        <f t="shared" si="316"/>
        <v>Twitter for iPhone</v>
      </c>
      <c r="L1847" s="13">
        <v>10</v>
      </c>
      <c r="M1847" s="13">
        <v>12</v>
      </c>
      <c r="N1847" s="13">
        <v>0</v>
      </c>
      <c r="O1847" s="15"/>
      <c r="P1847" s="6">
        <v>42341.046319444446</v>
      </c>
      <c r="Q1847" s="16" t="s">
        <v>587</v>
      </c>
      <c r="R1847" s="17" t="s">
        <v>6358</v>
      </c>
      <c r="S1847" s="12"/>
      <c r="T1847" s="12"/>
      <c r="U1847" s="10" t="str">
        <f>HYPERLINK("https://pbs.twimg.com/profile_images/953011656153600000/HGl6dEXv.jpg","View")</f>
        <v>View</v>
      </c>
    </row>
    <row r="1848" spans="1:21" ht="40.799999999999997">
      <c r="A1848" s="6">
        <v>43436.982453703706</v>
      </c>
      <c r="B1848" s="7" t="str">
        <f>HYPERLINK("https://twitter.com/VirginiaHGZ","@VirginiaHGZ")</f>
        <v>@VirginiaHGZ</v>
      </c>
      <c r="C1848" s="8" t="s">
        <v>6359</v>
      </c>
      <c r="D1848" s="9" t="s">
        <v>6360</v>
      </c>
      <c r="E1848" s="10" t="str">
        <f>HYPERLINK("https://twitter.com/VirginiaHGZ/status/1069359236214390784","1069359236214390784")</f>
        <v>1069359236214390784</v>
      </c>
      <c r="F1848" s="12"/>
      <c r="G1848" s="12"/>
      <c r="H1848" s="12"/>
      <c r="I1848" s="13">
        <v>1</v>
      </c>
      <c r="J1848" s="13">
        <v>3</v>
      </c>
      <c r="K1848" s="14" t="str">
        <f t="shared" ref="K1848:K1849" si="317">HYPERLINK("http://twitter.com/download/android","Twitter for Android")</f>
        <v>Twitter for Android</v>
      </c>
      <c r="L1848" s="13">
        <v>1561</v>
      </c>
      <c r="M1848" s="13">
        <v>1240</v>
      </c>
      <c r="N1848" s="13">
        <v>30</v>
      </c>
      <c r="O1848" s="15"/>
      <c r="P1848" s="6">
        <v>40489.85701388889</v>
      </c>
      <c r="Q1848" s="16" t="s">
        <v>6361</v>
      </c>
      <c r="R1848" s="17" t="s">
        <v>6362</v>
      </c>
      <c r="S1848" s="11" t="s">
        <v>6363</v>
      </c>
      <c r="T1848" s="12"/>
      <c r="U1848" s="10" t="str">
        <f>HYPERLINK("https://pbs.twimg.com/profile_images/991378720698044416/XVrU9grX.jpg","View")</f>
        <v>View</v>
      </c>
    </row>
    <row r="1849" spans="1:21" ht="40.799999999999997">
      <c r="A1849" s="6">
        <v>43436.982442129629</v>
      </c>
      <c r="B1849" s="7" t="str">
        <f>HYPERLINK("https://twitter.com/danipach84","@danipach84")</f>
        <v>@danipach84</v>
      </c>
      <c r="C1849" s="8" t="s">
        <v>6364</v>
      </c>
      <c r="D1849" s="9" t="s">
        <v>6365</v>
      </c>
      <c r="E1849" s="10" t="str">
        <f>HYPERLINK("https://twitter.com/danipach84/status/1069359232523345923","1069359232523345923")</f>
        <v>1069359232523345923</v>
      </c>
      <c r="F1849" s="12"/>
      <c r="G1849" s="12"/>
      <c r="H1849" s="12"/>
      <c r="I1849" s="13">
        <v>0</v>
      </c>
      <c r="J1849" s="13">
        <v>7</v>
      </c>
      <c r="K1849" s="14" t="str">
        <f t="shared" si="317"/>
        <v>Twitter for Android</v>
      </c>
      <c r="L1849" s="13">
        <v>3823</v>
      </c>
      <c r="M1849" s="13">
        <v>3639</v>
      </c>
      <c r="N1849" s="13">
        <v>66</v>
      </c>
      <c r="O1849" s="15"/>
      <c r="P1849" s="6">
        <v>40510.906296296293</v>
      </c>
      <c r="Q1849" s="16" t="s">
        <v>6366</v>
      </c>
      <c r="R1849" s="17" t="s">
        <v>6367</v>
      </c>
      <c r="S1849" s="11" t="s">
        <v>6368</v>
      </c>
      <c r="T1849" s="12"/>
      <c r="U1849" s="10" t="str">
        <f>HYPERLINK("https://pbs.twimg.com/profile_images/1042381369077362689/e1o2QDSP.jpg","View")</f>
        <v>View</v>
      </c>
    </row>
    <row r="1850" spans="1:21" ht="40.799999999999997">
      <c r="A1850" s="6">
        <v>43436.982430555552</v>
      </c>
      <c r="B1850" s="7" t="str">
        <f>HYPERLINK("https://twitter.com/consolimadruga","@consolimadruga")</f>
        <v>@consolimadruga</v>
      </c>
      <c r="C1850" s="8" t="s">
        <v>6369</v>
      </c>
      <c r="D1850" s="9" t="s">
        <v>6370</v>
      </c>
      <c r="E1850" s="10" t="str">
        <f>HYPERLINK("https://twitter.com/consolimadruga/status/1069359229402841088","1069359229402841088")</f>
        <v>1069359229402841088</v>
      </c>
      <c r="F1850" s="12"/>
      <c r="G1850" s="12"/>
      <c r="H1850" s="12"/>
      <c r="I1850" s="13">
        <v>2</v>
      </c>
      <c r="J1850" s="13">
        <v>1</v>
      </c>
      <c r="K1850" s="14" t="str">
        <f>HYPERLINK("http://twitter.com/download/iphone","Twitter for iPhone")</f>
        <v>Twitter for iPhone</v>
      </c>
      <c r="L1850" s="13">
        <v>423</v>
      </c>
      <c r="M1850" s="13">
        <v>504</v>
      </c>
      <c r="N1850" s="13">
        <v>18</v>
      </c>
      <c r="O1850" s="15"/>
      <c r="P1850" s="6">
        <v>40562.938472222224</v>
      </c>
      <c r="Q1850" s="12"/>
      <c r="R1850" s="17" t="s">
        <v>6371</v>
      </c>
      <c r="S1850" s="12"/>
      <c r="T1850" s="12"/>
      <c r="U1850" s="10" t="str">
        <f>HYPERLINK("https://pbs.twimg.com/profile_images/779271244134907908/HOIcJ6KY.jpg","View")</f>
        <v>View</v>
      </c>
    </row>
    <row r="1851" spans="1:21" ht="61.2">
      <c r="A1851" s="6">
        <v>43436.982430555552</v>
      </c>
      <c r="B1851" s="7" t="str">
        <f>HYPERLINK("https://twitter.com/AdoracionGuaman","@AdoracionGuaman")</f>
        <v>@AdoracionGuaman</v>
      </c>
      <c r="C1851" s="8" t="s">
        <v>6372</v>
      </c>
      <c r="D1851" s="9" t="s">
        <v>6373</v>
      </c>
      <c r="E1851" s="10" t="str">
        <f>HYPERLINK("https://twitter.com/AdoracionGuaman/status/1069359227448250368","1069359227448250368")</f>
        <v>1069359227448250368</v>
      </c>
      <c r="F1851" s="12"/>
      <c r="G1851" s="12"/>
      <c r="H1851" s="12"/>
      <c r="I1851" s="13">
        <v>2</v>
      </c>
      <c r="J1851" s="13">
        <v>4</v>
      </c>
      <c r="K1851" s="14" t="str">
        <f>HYPERLINK("http://twitter.com","Twitter Web Client")</f>
        <v>Twitter Web Client</v>
      </c>
      <c r="L1851" s="13">
        <v>7142</v>
      </c>
      <c r="M1851" s="13">
        <v>3658</v>
      </c>
      <c r="N1851" s="13">
        <v>116</v>
      </c>
      <c r="O1851" s="15"/>
      <c r="P1851" s="6">
        <v>40594.862268518518</v>
      </c>
      <c r="Q1851" s="16" t="s">
        <v>6374</v>
      </c>
      <c r="R1851" s="17" t="s">
        <v>6375</v>
      </c>
      <c r="S1851" s="11" t="s">
        <v>6376</v>
      </c>
      <c r="T1851" s="12"/>
      <c r="U1851" s="10" t="str">
        <f>HYPERLINK("https://pbs.twimg.com/profile_images/812317425354076161/iUVE5Lrs.jpg","View")</f>
        <v>View</v>
      </c>
    </row>
    <row r="1852" spans="1:21" ht="30.6">
      <c r="A1852" s="6">
        <v>43436.982407407406</v>
      </c>
      <c r="B1852" s="7" t="str">
        <f>HYPERLINK("https://twitter.com/ciposueros","@ciposueros")</f>
        <v>@ciposueros</v>
      </c>
      <c r="C1852" s="8" t="s">
        <v>6377</v>
      </c>
      <c r="D1852" s="9" t="s">
        <v>6378</v>
      </c>
      <c r="E1852" s="10" t="str">
        <f>HYPERLINK("https://twitter.com/ciposueros/status/1069359222226337793","1069359222226337793")</f>
        <v>1069359222226337793</v>
      </c>
      <c r="F1852" s="12"/>
      <c r="G1852" s="12"/>
      <c r="H1852" s="12"/>
      <c r="I1852" s="13">
        <v>0</v>
      </c>
      <c r="J1852" s="13">
        <v>0</v>
      </c>
      <c r="K1852" s="14" t="str">
        <f>HYPERLINK("http://twitter.com/download/android","Twitter for Android")</f>
        <v>Twitter for Android</v>
      </c>
      <c r="L1852" s="13">
        <v>301</v>
      </c>
      <c r="M1852" s="13">
        <v>169</v>
      </c>
      <c r="N1852" s="13">
        <v>0</v>
      </c>
      <c r="O1852" s="15"/>
      <c r="P1852" s="6">
        <v>40660.699965277774</v>
      </c>
      <c r="Q1852" s="12"/>
      <c r="R1852" s="17" t="s">
        <v>6379</v>
      </c>
      <c r="S1852" s="12"/>
      <c r="T1852" s="12"/>
      <c r="U1852" s="10" t="str">
        <f>HYPERLINK("https://pbs.twimg.com/profile_images/1063115040985890816/FiFagVx2.jpg","View")</f>
        <v>View</v>
      </c>
    </row>
    <row r="1853" spans="1:21" ht="40.799999999999997">
      <c r="A1853" s="6">
        <v>43436.982395833329</v>
      </c>
      <c r="B1853" s="7" t="str">
        <f>HYPERLINK("https://twitter.com/david_martos","@david_martos")</f>
        <v>@david_martos</v>
      </c>
      <c r="C1853" s="8" t="s">
        <v>6380</v>
      </c>
      <c r="D1853" s="9" t="s">
        <v>6381</v>
      </c>
      <c r="E1853" s="10" t="str">
        <f>HYPERLINK("https://twitter.com/david_martos/status/1069359216522158080","1069359216522158080")</f>
        <v>1069359216522158080</v>
      </c>
      <c r="F1853" s="12"/>
      <c r="G1853" s="12"/>
      <c r="H1853" s="12"/>
      <c r="I1853" s="13">
        <v>0</v>
      </c>
      <c r="J1853" s="13">
        <v>1</v>
      </c>
      <c r="K1853" s="14" t="str">
        <f>HYPERLINK("https://about.twitter.com/products/tweetdeck","TweetDeck")</f>
        <v>TweetDeck</v>
      </c>
      <c r="L1853" s="13">
        <v>18930</v>
      </c>
      <c r="M1853" s="13">
        <v>2085</v>
      </c>
      <c r="N1853" s="13">
        <v>576</v>
      </c>
      <c r="O1853" s="19" t="s">
        <v>44</v>
      </c>
      <c r="P1853" s="6">
        <v>39162.460949074077</v>
      </c>
      <c r="Q1853" s="16" t="s">
        <v>48</v>
      </c>
      <c r="R1853" s="17" t="s">
        <v>6382</v>
      </c>
      <c r="S1853" s="11" t="s">
        <v>6383</v>
      </c>
      <c r="T1853" s="12"/>
      <c r="U1853" s="10" t="str">
        <f>HYPERLINK("https://pbs.twimg.com/profile_images/1014077884783300611/7jH2KuqL.jpg","View")</f>
        <v>View</v>
      </c>
    </row>
    <row r="1854" spans="1:21" ht="20.399999999999999">
      <c r="A1854" s="6">
        <v>43436.982361111106</v>
      </c>
      <c r="B1854" s="7" t="str">
        <f>HYPERLINK("https://twitter.com/xafoi","@xafoi")</f>
        <v>@xafoi</v>
      </c>
      <c r="C1854" s="8" t="s">
        <v>6384</v>
      </c>
      <c r="D1854" s="9" t="s">
        <v>6385</v>
      </c>
      <c r="E1854" s="10" t="str">
        <f>HYPERLINK("https://twitter.com/xafoi/status/1069359204039892992","1069359204039892992")</f>
        <v>1069359204039892992</v>
      </c>
      <c r="F1854" s="12"/>
      <c r="G1854" s="12"/>
      <c r="H1854" s="12"/>
      <c r="I1854" s="13">
        <v>0</v>
      </c>
      <c r="J1854" s="13">
        <v>2</v>
      </c>
      <c r="K1854" s="14" t="str">
        <f>HYPERLINK("http://twitter.com/download/iphone","Twitter for iPhone")</f>
        <v>Twitter for iPhone</v>
      </c>
      <c r="L1854" s="13">
        <v>184</v>
      </c>
      <c r="M1854" s="13">
        <v>139</v>
      </c>
      <c r="N1854" s="13">
        <v>4</v>
      </c>
      <c r="O1854" s="15"/>
      <c r="P1854" s="6">
        <v>41519.060995370368</v>
      </c>
      <c r="Q1854" s="12"/>
      <c r="R1854" s="17" t="s">
        <v>6387</v>
      </c>
      <c r="S1854" s="12"/>
      <c r="T1854" s="12"/>
      <c r="U1854" s="10" t="str">
        <f>HYPERLINK("https://pbs.twimg.com/profile_images/913838239756247040/GSETHdmw.jpg","View")</f>
        <v>View</v>
      </c>
    </row>
    <row r="1855" spans="1:21" ht="20.399999999999999">
      <c r="A1855" s="6">
        <v>43436.982291666667</v>
      </c>
      <c r="B1855" s="7" t="str">
        <f>HYPERLINK("https://twitter.com/teresa_goni","@teresa_goni")</f>
        <v>@teresa_goni</v>
      </c>
      <c r="C1855" s="8" t="s">
        <v>6388</v>
      </c>
      <c r="D1855" s="9" t="s">
        <v>6389</v>
      </c>
      <c r="E1855" s="10" t="str">
        <f>HYPERLINK("https://twitter.com/teresa_goni/status/1069359179561922565","1069359179561922565")</f>
        <v>1069359179561922565</v>
      </c>
      <c r="F1855" s="12"/>
      <c r="G1855" s="12"/>
      <c r="H1855" s="12"/>
      <c r="I1855" s="13">
        <v>0</v>
      </c>
      <c r="J1855" s="13">
        <v>0</v>
      </c>
      <c r="K1855" s="14" t="str">
        <f t="shared" ref="K1855:K1856" si="318">HYPERLINK("http://twitter.com/download/android","Twitter for Android")</f>
        <v>Twitter for Android</v>
      </c>
      <c r="L1855" s="13">
        <v>17</v>
      </c>
      <c r="M1855" s="13">
        <v>50</v>
      </c>
      <c r="N1855" s="13">
        <v>0</v>
      </c>
      <c r="O1855" s="15"/>
      <c r="P1855" s="6">
        <v>42392.060891203699</v>
      </c>
      <c r="Q1855" s="16" t="s">
        <v>6386</v>
      </c>
      <c r="R1855" s="17" t="s">
        <v>6390</v>
      </c>
      <c r="S1855" s="12"/>
      <c r="T1855" s="12"/>
      <c r="U1855" s="10" t="str">
        <f>HYPERLINK("https://pbs.twimg.com/profile_images/697008995303817216/46zYJzWZ.jpg","View")</f>
        <v>View</v>
      </c>
    </row>
    <row r="1856" spans="1:21" ht="30.6">
      <c r="A1856" s="6">
        <v>43436.982291666667</v>
      </c>
      <c r="B1856" s="7" t="str">
        <f>HYPERLINK("https://twitter.com/Raul_rm91","@Raul_rm91")</f>
        <v>@Raul_rm91</v>
      </c>
      <c r="C1856" s="8" t="s">
        <v>6391</v>
      </c>
      <c r="D1856" s="9" t="s">
        <v>6392</v>
      </c>
      <c r="E1856" s="10" t="str">
        <f>HYPERLINK("https://twitter.com/Raul_rm91/status/1069359177942863878","1069359177942863878")</f>
        <v>1069359177942863878</v>
      </c>
      <c r="F1856" s="12"/>
      <c r="G1856" s="12"/>
      <c r="H1856" s="12"/>
      <c r="I1856" s="13">
        <v>1</v>
      </c>
      <c r="J1856" s="13">
        <v>1</v>
      </c>
      <c r="K1856" s="14" t="str">
        <f t="shared" si="318"/>
        <v>Twitter for Android</v>
      </c>
      <c r="L1856" s="13">
        <v>774</v>
      </c>
      <c r="M1856" s="13">
        <v>1089</v>
      </c>
      <c r="N1856" s="13">
        <v>13</v>
      </c>
      <c r="O1856" s="15"/>
      <c r="P1856" s="6">
        <v>40722.869675925926</v>
      </c>
      <c r="Q1856" s="16" t="s">
        <v>6393</v>
      </c>
      <c r="R1856" s="17" t="s">
        <v>6394</v>
      </c>
      <c r="S1856" s="12"/>
      <c r="T1856" s="12"/>
      <c r="U1856" s="10" t="str">
        <f>HYPERLINK("https://pbs.twimg.com/profile_images/984102483998978048/hizPL2y1.jpg","View")</f>
        <v>View</v>
      </c>
    </row>
    <row r="1857" spans="1:21" ht="40.799999999999997">
      <c r="A1857" s="6">
        <v>43436.982268518521</v>
      </c>
      <c r="B1857" s="7" t="str">
        <f>HYPERLINK("https://twitter.com/rafamolone","@rafamolone")</f>
        <v>@rafamolone</v>
      </c>
      <c r="C1857" s="8" t="s">
        <v>6395</v>
      </c>
      <c r="D1857" s="9" t="s">
        <v>6396</v>
      </c>
      <c r="E1857" s="10" t="str">
        <f>HYPERLINK("https://twitter.com/rafamolone/status/1069359171097817088","1069359171097817088")</f>
        <v>1069359171097817088</v>
      </c>
      <c r="F1857" s="12"/>
      <c r="G1857" s="12"/>
      <c r="H1857" s="12"/>
      <c r="I1857" s="13">
        <v>0</v>
      </c>
      <c r="J1857" s="13">
        <v>2</v>
      </c>
      <c r="K1857" s="14" t="str">
        <f>HYPERLINK("http://twitter.com","Twitter Web Client")</f>
        <v>Twitter Web Client</v>
      </c>
      <c r="L1857" s="13">
        <v>839</v>
      </c>
      <c r="M1857" s="13">
        <v>459</v>
      </c>
      <c r="N1857" s="13">
        <v>40</v>
      </c>
      <c r="O1857" s="15"/>
      <c r="P1857" s="6">
        <v>39937.785740740743</v>
      </c>
      <c r="Q1857" s="16" t="s">
        <v>6397</v>
      </c>
      <c r="R1857" s="17" t="s">
        <v>6398</v>
      </c>
      <c r="S1857" s="11" t="s">
        <v>6399</v>
      </c>
      <c r="T1857" s="12"/>
      <c r="U1857" s="10" t="str">
        <f>HYPERLINK("https://pbs.twimg.com/profile_images/887052633315454977/GxIHUu8p.jpg","View")</f>
        <v>View</v>
      </c>
    </row>
    <row r="1858" spans="1:21" ht="13.2">
      <c r="A1858" s="6">
        <v>43436.982256944444</v>
      </c>
      <c r="B1858" s="7" t="str">
        <f>HYPERLINK("https://twitter.com/fernandofaucha","@fernandofaucha")</f>
        <v>@fernandofaucha</v>
      </c>
      <c r="C1858" s="8" t="s">
        <v>6400</v>
      </c>
      <c r="D1858" s="9" t="s">
        <v>6401</v>
      </c>
      <c r="E1858" s="10" t="str">
        <f>HYPERLINK("https://twitter.com/fernandofaucha/status/1069359165229928448","1069359165229928448")</f>
        <v>1069359165229928448</v>
      </c>
      <c r="F1858" s="12"/>
      <c r="G1858" s="12"/>
      <c r="H1858" s="12"/>
      <c r="I1858" s="13">
        <v>0</v>
      </c>
      <c r="J1858" s="13">
        <v>0</v>
      </c>
      <c r="K1858" s="14" t="str">
        <f t="shared" ref="K1858:K1859" si="319">HYPERLINK("http://twitter.com/download/android","Twitter for Android")</f>
        <v>Twitter for Android</v>
      </c>
      <c r="L1858" s="13">
        <v>489</v>
      </c>
      <c r="M1858" s="13">
        <v>747</v>
      </c>
      <c r="N1858" s="13">
        <v>15</v>
      </c>
      <c r="O1858" s="15"/>
      <c r="P1858" s="6">
        <v>40647.870127314818</v>
      </c>
      <c r="Q1858" s="16" t="s">
        <v>6402</v>
      </c>
      <c r="R1858" s="17" t="s">
        <v>6403</v>
      </c>
      <c r="S1858" s="12"/>
      <c r="T1858" s="12"/>
      <c r="U1858" s="10" t="str">
        <f>HYPERLINK("https://pbs.twimg.com/profile_images/1064290133816561667/2FezqUgy.jpg","View")</f>
        <v>View</v>
      </c>
    </row>
    <row r="1859" spans="1:21" ht="30.6">
      <c r="A1859" s="6">
        <v>43436.982245370367</v>
      </c>
      <c r="B1859" s="7" t="str">
        <f>HYPERLINK("https://twitter.com/luis_0042","@luis_0042")</f>
        <v>@luis_0042</v>
      </c>
      <c r="C1859" s="8" t="s">
        <v>1266</v>
      </c>
      <c r="D1859" s="9" t="s">
        <v>6404</v>
      </c>
      <c r="E1859" s="10" t="str">
        <f>HYPERLINK("https://twitter.com/luis_0042/status/1069359160544948224","1069359160544948224")</f>
        <v>1069359160544948224</v>
      </c>
      <c r="F1859" s="12"/>
      <c r="G1859" s="12"/>
      <c r="H1859" s="12"/>
      <c r="I1859" s="13">
        <v>0</v>
      </c>
      <c r="J1859" s="13">
        <v>1</v>
      </c>
      <c r="K1859" s="14" t="str">
        <f t="shared" si="319"/>
        <v>Twitter for Android</v>
      </c>
      <c r="L1859" s="13">
        <v>136</v>
      </c>
      <c r="M1859" s="13">
        <v>137</v>
      </c>
      <c r="N1859" s="13">
        <v>2</v>
      </c>
      <c r="O1859" s="15"/>
      <c r="P1859" s="6">
        <v>42350.905405092592</v>
      </c>
      <c r="Q1859" s="16" t="s">
        <v>3622</v>
      </c>
      <c r="R1859" s="17" t="s">
        <v>6405</v>
      </c>
      <c r="S1859" s="11" t="s">
        <v>6406</v>
      </c>
      <c r="T1859" s="12"/>
      <c r="U1859" s="10" t="str">
        <f>HYPERLINK("https://pbs.twimg.com/profile_images/1064240490504232960/P_wrtRNB.jpg","View")</f>
        <v>View</v>
      </c>
    </row>
    <row r="1860" spans="1:21" ht="51">
      <c r="A1860" s="6">
        <v>43436.982187500005</v>
      </c>
      <c r="B1860" s="7" t="str">
        <f>HYPERLINK("https://twitter.com/tamaricah","@tamaricah")</f>
        <v>@tamaricah</v>
      </c>
      <c r="C1860" s="8" t="s">
        <v>6407</v>
      </c>
      <c r="D1860" s="9" t="s">
        <v>6408</v>
      </c>
      <c r="E1860" s="10" t="str">
        <f>HYPERLINK("https://twitter.com/tamaricah/status/1069359140554854400","1069359140554854400")</f>
        <v>1069359140554854400</v>
      </c>
      <c r="F1860" s="12"/>
      <c r="G1860" s="12"/>
      <c r="H1860" s="12"/>
      <c r="I1860" s="13">
        <v>1</v>
      </c>
      <c r="J1860" s="13">
        <v>5</v>
      </c>
      <c r="K1860" s="14" t="str">
        <f>HYPERLINK("http://twitter.com/download/iphone","Twitter for iPhone")</f>
        <v>Twitter for iPhone</v>
      </c>
      <c r="L1860" s="13">
        <v>1234</v>
      </c>
      <c r="M1860" s="13">
        <v>624</v>
      </c>
      <c r="N1860" s="13">
        <v>40</v>
      </c>
      <c r="O1860" s="15"/>
      <c r="P1860" s="6">
        <v>40253.896226851852</v>
      </c>
      <c r="Q1860" s="16" t="s">
        <v>6409</v>
      </c>
      <c r="R1860" s="17" t="s">
        <v>6410</v>
      </c>
      <c r="S1860" s="12"/>
      <c r="T1860" s="12"/>
      <c r="U1860" s="10" t="str">
        <f>HYPERLINK("https://pbs.twimg.com/profile_images/574641838667227138/FmHU34ZM.jpeg","View")</f>
        <v>View</v>
      </c>
    </row>
    <row r="1861" spans="1:21" ht="30.6">
      <c r="A1861" s="6">
        <v>43436.982175925921</v>
      </c>
      <c r="B1861" s="7" t="str">
        <f>HYPERLINK("https://twitter.com/AngelPastor2002","@AngelPastor2002")</f>
        <v>@AngelPastor2002</v>
      </c>
      <c r="C1861" s="8" t="s">
        <v>6411</v>
      </c>
      <c r="D1861" s="9" t="s">
        <v>6412</v>
      </c>
      <c r="E1861" s="10" t="str">
        <f>HYPERLINK("https://twitter.com/AngelPastor2002/status/1069359136117309443","1069359136117309443")</f>
        <v>1069359136117309443</v>
      </c>
      <c r="F1861" s="12"/>
      <c r="G1861" s="12"/>
      <c r="H1861" s="12"/>
      <c r="I1861" s="13">
        <v>0</v>
      </c>
      <c r="J1861" s="13">
        <v>0</v>
      </c>
      <c r="K1861" s="14" t="str">
        <f>HYPERLINK("http://twitter.com","Twitter Web Client")</f>
        <v>Twitter Web Client</v>
      </c>
      <c r="L1861" s="13">
        <v>112</v>
      </c>
      <c r="M1861" s="13">
        <v>184</v>
      </c>
      <c r="N1861" s="13">
        <v>2</v>
      </c>
      <c r="O1861" s="15"/>
      <c r="P1861" s="6">
        <v>40454.768240740741</v>
      </c>
      <c r="Q1861" s="16" t="s">
        <v>30</v>
      </c>
      <c r="R1861" s="17" t="s">
        <v>6413</v>
      </c>
      <c r="S1861" s="12"/>
      <c r="T1861" s="12"/>
      <c r="U1861" s="10" t="str">
        <f>HYPERLINK("https://pbs.twimg.com/profile_images/1071438011383115777/rRrERx7P.jpg","View")</f>
        <v>View</v>
      </c>
    </row>
    <row r="1862" spans="1:21" ht="40.799999999999997">
      <c r="A1862" s="6">
        <v>43436.982141203705</v>
      </c>
      <c r="B1862" s="7" t="str">
        <f>HYPERLINK("https://twitter.com/pablobello","@pablobello")</f>
        <v>@pablobello</v>
      </c>
      <c r="C1862" s="8" t="s">
        <v>6414</v>
      </c>
      <c r="D1862" s="9" t="s">
        <v>6415</v>
      </c>
      <c r="E1862" s="10" t="str">
        <f>HYPERLINK("https://twitter.com/pablobello/status/1069359124708827143","1069359124708827143")</f>
        <v>1069359124708827143</v>
      </c>
      <c r="F1862" s="12"/>
      <c r="G1862" s="12"/>
      <c r="H1862" s="12"/>
      <c r="I1862" s="13">
        <v>0</v>
      </c>
      <c r="J1862" s="13">
        <v>9</v>
      </c>
      <c r="K1862" s="14" t="str">
        <f>HYPERLINK("https://mobile.twitter.com","Twitter Lite")</f>
        <v>Twitter Lite</v>
      </c>
      <c r="L1862" s="13">
        <v>20168</v>
      </c>
      <c r="M1862" s="13">
        <v>4461</v>
      </c>
      <c r="N1862" s="13">
        <v>513</v>
      </c>
      <c r="O1862" s="19" t="s">
        <v>44</v>
      </c>
      <c r="P1862" s="6">
        <v>39834.7268287037</v>
      </c>
      <c r="Q1862" s="16" t="s">
        <v>6416</v>
      </c>
      <c r="R1862" s="17" t="s">
        <v>6417</v>
      </c>
      <c r="S1862" s="11" t="s">
        <v>6418</v>
      </c>
      <c r="T1862" s="12"/>
      <c r="U1862" s="10" t="str">
        <f>HYPERLINK("https://pbs.twimg.com/profile_images/1049058715096305668/Wbxjhf4W.jpg","View")</f>
        <v>View</v>
      </c>
    </row>
    <row r="1863" spans="1:21" ht="20.399999999999999">
      <c r="A1863" s="6">
        <v>43436.982129629629</v>
      </c>
      <c r="B1863" s="7" t="str">
        <f>HYPERLINK("https://twitter.com/CarlosGI87","@CarlosGI87")</f>
        <v>@CarlosGI87</v>
      </c>
      <c r="C1863" s="8" t="s">
        <v>6419</v>
      </c>
      <c r="D1863" s="9" t="s">
        <v>6420</v>
      </c>
      <c r="E1863" s="10" t="str">
        <f>HYPERLINK("https://twitter.com/CarlosGI87/status/1069359120757731334","1069359120757731334")</f>
        <v>1069359120757731334</v>
      </c>
      <c r="F1863" s="11" t="s">
        <v>5327</v>
      </c>
      <c r="G1863" s="12"/>
      <c r="H1863" s="12"/>
      <c r="I1863" s="13">
        <v>0</v>
      </c>
      <c r="J1863" s="13">
        <v>0</v>
      </c>
      <c r="K1863" s="14" t="str">
        <f>HYPERLINK("http://twitter.com/download/iphone","Twitter for iPhone")</f>
        <v>Twitter for iPhone</v>
      </c>
      <c r="L1863" s="13">
        <v>397</v>
      </c>
      <c r="M1863" s="13">
        <v>964</v>
      </c>
      <c r="N1863" s="13">
        <v>3</v>
      </c>
      <c r="O1863" s="15"/>
      <c r="P1863" s="6">
        <v>40406.715104166666</v>
      </c>
      <c r="Q1863" s="16" t="s">
        <v>6421</v>
      </c>
      <c r="R1863" s="17" t="s">
        <v>6422</v>
      </c>
      <c r="S1863" s="12"/>
      <c r="T1863" s="12"/>
      <c r="U1863" s="10" t="str">
        <f>HYPERLINK("https://pbs.twimg.com/profile_images/876909839582146562/2cN4duZz.jpg","View")</f>
        <v>View</v>
      </c>
    </row>
    <row r="1864" spans="1:21" ht="40.799999999999997">
      <c r="A1864" s="6">
        <v>43436.982129629629</v>
      </c>
      <c r="B1864" s="7" t="str">
        <f>HYPERLINK("https://twitter.com/CSBVinn","@CSBVinn")</f>
        <v>@CSBVinn</v>
      </c>
      <c r="C1864" s="8" t="s">
        <v>6423</v>
      </c>
      <c r="D1864" s="9" t="s">
        <v>6424</v>
      </c>
      <c r="E1864" s="10" t="str">
        <f>HYPERLINK("https://twitter.com/CSBVinn/status/1069359119570792449","1069359119570792449")</f>
        <v>1069359119570792449</v>
      </c>
      <c r="F1864" s="12"/>
      <c r="G1864" s="12"/>
      <c r="H1864" s="12"/>
      <c r="I1864" s="13">
        <v>0</v>
      </c>
      <c r="J1864" s="13">
        <v>2</v>
      </c>
      <c r="K1864" s="14" t="str">
        <f t="shared" ref="K1864:K1865" si="320">HYPERLINK("http://twitter.com/download/android","Twitter for Android")</f>
        <v>Twitter for Android</v>
      </c>
      <c r="L1864" s="13">
        <v>221</v>
      </c>
      <c r="M1864" s="13">
        <v>604</v>
      </c>
      <c r="N1864" s="13">
        <v>3</v>
      </c>
      <c r="O1864" s="15"/>
      <c r="P1864" s="6">
        <v>40840.606620370367</v>
      </c>
      <c r="Q1864" s="16" t="s">
        <v>6425</v>
      </c>
      <c r="R1864" s="17" t="s">
        <v>6426</v>
      </c>
      <c r="S1864" s="12"/>
      <c r="T1864" s="12"/>
      <c r="U1864" s="10" t="str">
        <f>HYPERLINK("https://pbs.twimg.com/profile_images/1061354905288478721/FnjTGqx9.jpg","View")</f>
        <v>View</v>
      </c>
    </row>
    <row r="1865" spans="1:21" ht="30.6">
      <c r="A1865" s="6">
        <v>43436.982118055559</v>
      </c>
      <c r="B1865" s="7" t="str">
        <f>HYPERLINK("https://twitter.com/ishkarioth","@ishkarioth")</f>
        <v>@ishkarioth</v>
      </c>
      <c r="C1865" s="8" t="s">
        <v>6427</v>
      </c>
      <c r="D1865" s="9" t="s">
        <v>6428</v>
      </c>
      <c r="E1865" s="10" t="str">
        <f>HYPERLINK("https://twitter.com/ishkarioth/status/1069359116995448833","1069359116995448833")</f>
        <v>1069359116995448833</v>
      </c>
      <c r="F1865" s="12"/>
      <c r="G1865" s="12"/>
      <c r="H1865" s="12"/>
      <c r="I1865" s="13">
        <v>0</v>
      </c>
      <c r="J1865" s="13">
        <v>0</v>
      </c>
      <c r="K1865" s="14" t="str">
        <f t="shared" si="320"/>
        <v>Twitter for Android</v>
      </c>
      <c r="L1865" s="13">
        <v>464</v>
      </c>
      <c r="M1865" s="13">
        <v>333</v>
      </c>
      <c r="N1865" s="13">
        <v>26</v>
      </c>
      <c r="O1865" s="15"/>
      <c r="P1865" s="6">
        <v>39456.020601851851</v>
      </c>
      <c r="Q1865" s="12"/>
      <c r="R1865" s="17" t="s">
        <v>6429</v>
      </c>
      <c r="S1865" s="12"/>
      <c r="T1865" s="12"/>
      <c r="U1865" s="10" t="str">
        <f>HYPERLINK("https://pbs.twimg.com/profile_images/571838871773839360/eA6iCjl1.jpeg","View")</f>
        <v>View</v>
      </c>
    </row>
    <row r="1866" spans="1:21" ht="40.799999999999997">
      <c r="A1866" s="6">
        <v>43436.982118055559</v>
      </c>
      <c r="B1866" s="7" t="str">
        <f>HYPERLINK("https://twitter.com/Vareador","@Vareador")</f>
        <v>@Vareador</v>
      </c>
      <c r="C1866" s="8" t="s">
        <v>6430</v>
      </c>
      <c r="D1866" s="9" t="s">
        <v>6431</v>
      </c>
      <c r="E1866" s="10" t="str">
        <f>HYPERLINK("https://twitter.com/Vareador/status/1069359113728069632","1069359113728069632")</f>
        <v>1069359113728069632</v>
      </c>
      <c r="F1866" s="12"/>
      <c r="G1866" s="12"/>
      <c r="H1866" s="12"/>
      <c r="I1866" s="13">
        <v>0</v>
      </c>
      <c r="J1866" s="13">
        <v>0</v>
      </c>
      <c r="K1866" s="14" t="str">
        <f>HYPERLINK("http://twitter.com/download/iphone","Twitter for iPhone")</f>
        <v>Twitter for iPhone</v>
      </c>
      <c r="L1866" s="13">
        <v>791</v>
      </c>
      <c r="M1866" s="13">
        <v>1758</v>
      </c>
      <c r="N1866" s="13">
        <v>5</v>
      </c>
      <c r="O1866" s="15"/>
      <c r="P1866" s="6">
        <v>40949.842870370368</v>
      </c>
      <c r="Q1866" s="16" t="s">
        <v>48</v>
      </c>
      <c r="R1866" s="17" t="s">
        <v>6432</v>
      </c>
      <c r="S1866" s="12"/>
      <c r="T1866" s="12"/>
      <c r="U1866" s="10" t="str">
        <f>HYPERLINK("https://pbs.twimg.com/profile_images/979591807318323200/A9lmAcDS.jpg","View")</f>
        <v>View</v>
      </c>
    </row>
    <row r="1867" spans="1:21" ht="40.799999999999997">
      <c r="A1867" s="6">
        <v>43436.982106481482</v>
      </c>
      <c r="B1867" s="7" t="str">
        <f>HYPERLINK("https://twitter.com/nancho_merino","@nancho_merino")</f>
        <v>@nancho_merino</v>
      </c>
      <c r="C1867" s="8" t="s">
        <v>6433</v>
      </c>
      <c r="D1867" s="9" t="s">
        <v>6434</v>
      </c>
      <c r="E1867" s="10" t="str">
        <f>HYPERLINK("https://twitter.com/nancho_merino/status/1069359111047921666","1069359111047921666")</f>
        <v>1069359111047921666</v>
      </c>
      <c r="F1867" s="12"/>
      <c r="G1867" s="12"/>
      <c r="H1867" s="12"/>
      <c r="I1867" s="13">
        <v>0</v>
      </c>
      <c r="J1867" s="13">
        <v>0</v>
      </c>
      <c r="K1867" s="14" t="str">
        <f t="shared" ref="K1867:K1870" si="321">HYPERLINK("http://twitter.com/download/android","Twitter for Android")</f>
        <v>Twitter for Android</v>
      </c>
      <c r="L1867" s="13">
        <v>235</v>
      </c>
      <c r="M1867" s="13">
        <v>1086</v>
      </c>
      <c r="N1867" s="13">
        <v>3</v>
      </c>
      <c r="O1867" s="15"/>
      <c r="P1867" s="6">
        <v>42264.006689814814</v>
      </c>
      <c r="Q1867" s="16" t="s">
        <v>611</v>
      </c>
      <c r="R1867" s="17" t="s">
        <v>6435</v>
      </c>
      <c r="S1867" s="12"/>
      <c r="T1867" s="12"/>
      <c r="U1867" s="10" t="str">
        <f>HYPERLINK("https://pbs.twimg.com/profile_images/992403498074562560/hINl7bzl.jpg","View")</f>
        <v>View</v>
      </c>
    </row>
    <row r="1868" spans="1:21" ht="40.799999999999997">
      <c r="A1868" s="6">
        <v>43436.982071759259</v>
      </c>
      <c r="B1868" s="7" t="str">
        <f>HYPERLINK("https://twitter.com/patricialopezl","@patricialopezl")</f>
        <v>@patricialopezl</v>
      </c>
      <c r="C1868" s="8" t="s">
        <v>6436</v>
      </c>
      <c r="D1868" s="9" t="s">
        <v>6437</v>
      </c>
      <c r="E1868" s="10" t="str">
        <f>HYPERLINK("https://twitter.com/patricialopezl/status/1069359096850235394","1069359096850235394")</f>
        <v>1069359096850235394</v>
      </c>
      <c r="F1868" s="12"/>
      <c r="G1868" s="11" t="s">
        <v>6438</v>
      </c>
      <c r="H1868" s="12"/>
      <c r="I1868" s="13">
        <v>200</v>
      </c>
      <c r="J1868" s="13">
        <v>276</v>
      </c>
      <c r="K1868" s="14" t="str">
        <f t="shared" si="321"/>
        <v>Twitter for Android</v>
      </c>
      <c r="L1868" s="13">
        <v>64927</v>
      </c>
      <c r="M1868" s="13">
        <v>3724</v>
      </c>
      <c r="N1868" s="13">
        <v>610</v>
      </c>
      <c r="O1868" s="15"/>
      <c r="P1868" s="6">
        <v>40259.805787037039</v>
      </c>
      <c r="Q1868" s="12"/>
      <c r="R1868" s="17" t="s">
        <v>6439</v>
      </c>
      <c r="S1868" s="11" t="s">
        <v>866</v>
      </c>
      <c r="T1868" s="12"/>
      <c r="U1868" s="10" t="str">
        <f>HYPERLINK("https://pbs.twimg.com/profile_images/1050122996030074880/c7Vkt0Hn.jpg","View")</f>
        <v>View</v>
      </c>
    </row>
    <row r="1869" spans="1:21" ht="40.799999999999997">
      <c r="A1869" s="6">
        <v>43436.982048611113</v>
      </c>
      <c r="B1869" s="7" t="str">
        <f>HYPERLINK("https://twitter.com/JorgeOsmaC","@JorgeOsmaC")</f>
        <v>@JorgeOsmaC</v>
      </c>
      <c r="C1869" s="8" t="s">
        <v>6440</v>
      </c>
      <c r="D1869" s="9" t="s">
        <v>6441</v>
      </c>
      <c r="E1869" s="10" t="str">
        <f>HYPERLINK("https://twitter.com/JorgeOsmaC/status/1069359090709798912","1069359090709798912")</f>
        <v>1069359090709798912</v>
      </c>
      <c r="F1869" s="12"/>
      <c r="G1869" s="12"/>
      <c r="H1869" s="12"/>
      <c r="I1869" s="13">
        <v>1</v>
      </c>
      <c r="J1869" s="13">
        <v>2</v>
      </c>
      <c r="K1869" s="14" t="str">
        <f t="shared" si="321"/>
        <v>Twitter for Android</v>
      </c>
      <c r="L1869" s="13">
        <v>1703</v>
      </c>
      <c r="M1869" s="13">
        <v>997</v>
      </c>
      <c r="N1869" s="13">
        <v>43</v>
      </c>
      <c r="O1869" s="15"/>
      <c r="P1869" s="6">
        <v>40483.704293981486</v>
      </c>
      <c r="Q1869" s="16" t="s">
        <v>30</v>
      </c>
      <c r="R1869" s="17" t="s">
        <v>6442</v>
      </c>
      <c r="S1869" s="11" t="s">
        <v>6443</v>
      </c>
      <c r="T1869" s="12"/>
      <c r="U1869" s="10" t="str">
        <f>HYPERLINK("https://pbs.twimg.com/profile_images/1042152908345753601/fW5HoN8J.jpg","View")</f>
        <v>View</v>
      </c>
    </row>
    <row r="1870" spans="1:21" ht="30.6">
      <c r="A1870" s="6">
        <v>43436.982037037036</v>
      </c>
      <c r="B1870" s="7" t="str">
        <f>HYPERLINK("https://twitter.com/Birra__Moretti","@Birra__Moretti")</f>
        <v>@Birra__Moretti</v>
      </c>
      <c r="C1870" s="8" t="s">
        <v>6137</v>
      </c>
      <c r="D1870" s="9" t="s">
        <v>6444</v>
      </c>
      <c r="E1870" s="10" t="str">
        <f>HYPERLINK("https://twitter.com/Birra__Moretti/status/1069359086557413377","1069359086557413377")</f>
        <v>1069359086557413377</v>
      </c>
      <c r="F1870" s="12"/>
      <c r="G1870" s="11" t="s">
        <v>6445</v>
      </c>
      <c r="H1870" s="12"/>
      <c r="I1870" s="13">
        <v>1</v>
      </c>
      <c r="J1870" s="13">
        <v>0</v>
      </c>
      <c r="K1870" s="14" t="str">
        <f t="shared" si="321"/>
        <v>Twitter for Android</v>
      </c>
      <c r="L1870" s="13">
        <v>29</v>
      </c>
      <c r="M1870" s="13">
        <v>67</v>
      </c>
      <c r="N1870" s="13">
        <v>0</v>
      </c>
      <c r="O1870" s="15"/>
      <c r="P1870" s="6">
        <v>43391.984398148154</v>
      </c>
      <c r="Q1870" s="12"/>
      <c r="R1870" s="17" t="s">
        <v>6139</v>
      </c>
      <c r="S1870" s="12"/>
      <c r="T1870" s="12"/>
      <c r="U1870" s="10" t="str">
        <f>HYPERLINK("https://pbs.twimg.com/profile_images/1068190753057329152/PxxjjK_z.jpg","View")</f>
        <v>View</v>
      </c>
    </row>
    <row r="1871" spans="1:21" ht="30.6">
      <c r="A1871" s="6">
        <v>43436.981979166667</v>
      </c>
      <c r="B1871" s="7" t="str">
        <f>HYPERLINK("https://twitter.com/Alvaro_Illesca","@Alvaro_Illesca")</f>
        <v>@Alvaro_Illesca</v>
      </c>
      <c r="C1871" s="8" t="s">
        <v>6446</v>
      </c>
      <c r="D1871" s="9" t="s">
        <v>6447</v>
      </c>
      <c r="E1871" s="10" t="str">
        <f>HYPERLINK("https://twitter.com/Alvaro_Illesca/status/1069359066236026880","1069359066236026880")</f>
        <v>1069359066236026880</v>
      </c>
      <c r="F1871" s="12"/>
      <c r="G1871" s="12"/>
      <c r="H1871" s="12"/>
      <c r="I1871" s="13">
        <v>1</v>
      </c>
      <c r="J1871" s="13">
        <v>3</v>
      </c>
      <c r="K1871" s="14" t="str">
        <f>HYPERLINK("http://twitter.com/download/iphone","Twitter for iPhone")</f>
        <v>Twitter for iPhone</v>
      </c>
      <c r="L1871" s="13">
        <v>1198</v>
      </c>
      <c r="M1871" s="13">
        <v>750</v>
      </c>
      <c r="N1871" s="13">
        <v>13</v>
      </c>
      <c r="O1871" s="15"/>
      <c r="P1871" s="6">
        <v>40511.452974537038</v>
      </c>
      <c r="Q1871" s="16" t="s">
        <v>2367</v>
      </c>
      <c r="R1871" s="17" t="s">
        <v>6448</v>
      </c>
      <c r="S1871" s="12"/>
      <c r="T1871" s="12"/>
      <c r="U1871" s="10" t="str">
        <f>HYPERLINK("https://pbs.twimg.com/profile_images/1051583918326145025/SBtQVY1E.jpg","View")</f>
        <v>View</v>
      </c>
    </row>
    <row r="1872" spans="1:21" ht="30.6">
      <c r="A1872" s="6">
        <v>43436.981979166667</v>
      </c>
      <c r="B1872" s="7" t="str">
        <f>HYPERLINK("https://twitter.com/Njolnir","@Njolnir")</f>
        <v>@Njolnir</v>
      </c>
      <c r="C1872" s="8" t="s">
        <v>6449</v>
      </c>
      <c r="D1872" s="9" t="s">
        <v>6450</v>
      </c>
      <c r="E1872" s="10" t="str">
        <f>HYPERLINK("https://twitter.com/Njolnir/status/1069359063190970373","1069359063190970373")</f>
        <v>1069359063190970373</v>
      </c>
      <c r="F1872" s="12"/>
      <c r="G1872" s="12"/>
      <c r="H1872" s="12"/>
      <c r="I1872" s="13">
        <v>0</v>
      </c>
      <c r="J1872" s="13">
        <v>0</v>
      </c>
      <c r="K1872" s="14" t="str">
        <f t="shared" ref="K1872:K1873" si="322">HYPERLINK("http://twitter.com","Twitter Web Client")</f>
        <v>Twitter Web Client</v>
      </c>
      <c r="L1872" s="13">
        <v>158</v>
      </c>
      <c r="M1872" s="13">
        <v>255</v>
      </c>
      <c r="N1872" s="13">
        <v>11</v>
      </c>
      <c r="O1872" s="15"/>
      <c r="P1872" s="6">
        <v>40949.786087962959</v>
      </c>
      <c r="Q1872" s="16" t="s">
        <v>86</v>
      </c>
      <c r="R1872" s="17" t="s">
        <v>6451</v>
      </c>
      <c r="S1872" s="12"/>
      <c r="T1872" s="12"/>
      <c r="U1872" s="10" t="str">
        <f>HYPERLINK("https://pbs.twimg.com/profile_images/928372278190071808/tRCjHKzo.jpg","View")</f>
        <v>View</v>
      </c>
    </row>
    <row r="1873" spans="1:21" ht="40.799999999999997">
      <c r="A1873" s="6">
        <v>43436.981956018513</v>
      </c>
      <c r="B1873" s="7" t="str">
        <f>HYPERLINK("https://twitter.com/almar82","@almar82")</f>
        <v>@almar82</v>
      </c>
      <c r="C1873" s="8" t="s">
        <v>6452</v>
      </c>
      <c r="D1873" s="9" t="s">
        <v>6453</v>
      </c>
      <c r="E1873" s="10" t="str">
        <f>HYPERLINK("https://twitter.com/almar82/status/1069359055515336705","1069359055515336705")</f>
        <v>1069359055515336705</v>
      </c>
      <c r="F1873" s="12"/>
      <c r="G1873" s="12"/>
      <c r="H1873" s="12"/>
      <c r="I1873" s="13">
        <v>1</v>
      </c>
      <c r="J1873" s="13">
        <v>5</v>
      </c>
      <c r="K1873" s="14" t="str">
        <f t="shared" si="322"/>
        <v>Twitter Web Client</v>
      </c>
      <c r="L1873" s="13">
        <v>1955</v>
      </c>
      <c r="M1873" s="13">
        <v>964</v>
      </c>
      <c r="N1873" s="13">
        <v>39</v>
      </c>
      <c r="O1873" s="15"/>
      <c r="P1873" s="6">
        <v>40248.655486111107</v>
      </c>
      <c r="Q1873" s="12"/>
      <c r="R1873" s="20"/>
      <c r="S1873" s="12"/>
      <c r="T1873" s="12"/>
      <c r="U1873" s="10" t="str">
        <f>HYPERLINK("https://pbs.twimg.com/profile_images/456180082277486592/E3q_dNiy.jpeg","View")</f>
        <v>View</v>
      </c>
    </row>
    <row r="1874" spans="1:21" ht="30.6">
      <c r="A1874" s="6">
        <v>43436.981921296298</v>
      </c>
      <c r="B1874" s="7" t="str">
        <f>HYPERLINK("https://twitter.com/elmundoes","@elmundoes")</f>
        <v>@elmundoes</v>
      </c>
      <c r="C1874" s="8" t="s">
        <v>1975</v>
      </c>
      <c r="D1874" s="9" t="s">
        <v>6454</v>
      </c>
      <c r="E1874" s="10" t="str">
        <f>HYPERLINK("https://twitter.com/elmundoes/status/1069359043045539840","1069359043045539840")</f>
        <v>1069359043045539840</v>
      </c>
      <c r="F1874" s="11" t="s">
        <v>6455</v>
      </c>
      <c r="G1874" s="11" t="s">
        <v>6456</v>
      </c>
      <c r="H1874" s="12"/>
      <c r="I1874" s="13">
        <v>87</v>
      </c>
      <c r="J1874" s="13">
        <v>174</v>
      </c>
      <c r="K1874" s="14" t="str">
        <f>HYPERLINK("http://snappytv.com","SnappyTV.com")</f>
        <v>SnappyTV.com</v>
      </c>
      <c r="L1874" s="13">
        <v>3199074</v>
      </c>
      <c r="M1874" s="13">
        <v>1355</v>
      </c>
      <c r="N1874" s="13">
        <v>29607</v>
      </c>
      <c r="O1874" s="19" t="s">
        <v>44</v>
      </c>
      <c r="P1874" s="6">
        <v>39556.853761574072</v>
      </c>
      <c r="Q1874" s="16" t="s">
        <v>48</v>
      </c>
      <c r="R1874" s="17" t="s">
        <v>1977</v>
      </c>
      <c r="S1874" s="11" t="s">
        <v>1978</v>
      </c>
      <c r="T1874" s="12"/>
      <c r="U1874" s="10" t="str">
        <f>HYPERLINK("https://pbs.twimg.com/profile_images/959947259780747265/ez18J78k.jpg","View")</f>
        <v>View</v>
      </c>
    </row>
    <row r="1875" spans="1:21" ht="20.399999999999999">
      <c r="A1875" s="6">
        <v>43436.981909722221</v>
      </c>
      <c r="B1875" s="7" t="str">
        <f>HYPERLINK("https://twitter.com/Cachonda_tetona","@Cachonda_tetona")</f>
        <v>@Cachonda_tetona</v>
      </c>
      <c r="C1875" s="8" t="s">
        <v>6457</v>
      </c>
      <c r="D1875" s="9" t="s">
        <v>6458</v>
      </c>
      <c r="E1875" s="10" t="str">
        <f>HYPERLINK("https://twitter.com/Cachonda_tetona/status/1069359041493774339","1069359041493774339")</f>
        <v>1069359041493774339</v>
      </c>
      <c r="F1875" s="12"/>
      <c r="G1875" s="12"/>
      <c r="H1875" s="12"/>
      <c r="I1875" s="13">
        <v>0</v>
      </c>
      <c r="J1875" s="13">
        <v>0</v>
      </c>
      <c r="K1875" s="14" t="str">
        <f t="shared" ref="K1875:K1877" si="323">HYPERLINK("http://twitter.com/download/iphone","Twitter for iPhone")</f>
        <v>Twitter for iPhone</v>
      </c>
      <c r="L1875" s="13">
        <v>191</v>
      </c>
      <c r="M1875" s="13">
        <v>131</v>
      </c>
      <c r="N1875" s="13">
        <v>5</v>
      </c>
      <c r="O1875" s="15"/>
      <c r="P1875" s="6">
        <v>41568.985497685186</v>
      </c>
      <c r="Q1875" s="12"/>
      <c r="R1875" s="20"/>
      <c r="S1875" s="12"/>
      <c r="T1875" s="12"/>
      <c r="U1875" s="10" t="str">
        <f>HYPERLINK("https://pbs.twimg.com/profile_images/778645556973502464/lJajiKQl.jpg","View")</f>
        <v>View</v>
      </c>
    </row>
    <row r="1876" spans="1:21" ht="40.799999999999997">
      <c r="A1876" s="6">
        <v>43436.981909722221</v>
      </c>
      <c r="B1876" s="7" t="str">
        <f>HYPERLINK("https://twitter.com/daniel_hervas","@daniel_hervas")</f>
        <v>@daniel_hervas</v>
      </c>
      <c r="C1876" s="8" t="s">
        <v>6459</v>
      </c>
      <c r="D1876" s="9" t="s">
        <v>6460</v>
      </c>
      <c r="E1876" s="10" t="str">
        <f>HYPERLINK("https://twitter.com/daniel_hervas/status/1069359038389993472","1069359038389993472")</f>
        <v>1069359038389993472</v>
      </c>
      <c r="F1876" s="12"/>
      <c r="G1876" s="12"/>
      <c r="H1876" s="12"/>
      <c r="I1876" s="13">
        <v>1</v>
      </c>
      <c r="J1876" s="13">
        <v>1</v>
      </c>
      <c r="K1876" s="14" t="str">
        <f t="shared" si="323"/>
        <v>Twitter for iPhone</v>
      </c>
      <c r="L1876" s="13">
        <v>2061</v>
      </c>
      <c r="M1876" s="13">
        <v>3226</v>
      </c>
      <c r="N1876" s="13">
        <v>92</v>
      </c>
      <c r="O1876" s="15"/>
      <c r="P1876" s="6">
        <v>40659.722245370373</v>
      </c>
      <c r="Q1876" s="16" t="s">
        <v>6461</v>
      </c>
      <c r="R1876" s="17" t="s">
        <v>6462</v>
      </c>
      <c r="S1876" s="11" t="s">
        <v>6463</v>
      </c>
      <c r="T1876" s="12"/>
      <c r="U1876" s="10" t="str">
        <f>HYPERLINK("https://pbs.twimg.com/profile_images/917836320730419201/NvgxA6y3.jpg","View")</f>
        <v>View</v>
      </c>
    </row>
    <row r="1877" spans="1:21" ht="30.6">
      <c r="A1877" s="6">
        <v>43436.981898148151</v>
      </c>
      <c r="B1877" s="7" t="str">
        <f>HYPERLINK("https://twitter.com/garsanser","@garsanser")</f>
        <v>@garsanser</v>
      </c>
      <c r="C1877" s="8" t="s">
        <v>6464</v>
      </c>
      <c r="D1877" s="9" t="s">
        <v>6465</v>
      </c>
      <c r="E1877" s="10" t="str">
        <f>HYPERLINK("https://twitter.com/garsanser/status/1069359037542793226","1069359037542793226")</f>
        <v>1069359037542793226</v>
      </c>
      <c r="F1877" s="12"/>
      <c r="G1877" s="12"/>
      <c r="H1877" s="12"/>
      <c r="I1877" s="13">
        <v>0</v>
      </c>
      <c r="J1877" s="13">
        <v>0</v>
      </c>
      <c r="K1877" s="14" t="str">
        <f t="shared" si="323"/>
        <v>Twitter for iPhone</v>
      </c>
      <c r="L1877" s="13">
        <v>85</v>
      </c>
      <c r="M1877" s="13">
        <v>58</v>
      </c>
      <c r="N1877" s="13">
        <v>13</v>
      </c>
      <c r="O1877" s="15"/>
      <c r="P1877" s="6">
        <v>39992.704189814816</v>
      </c>
      <c r="Q1877" s="16" t="s">
        <v>2828</v>
      </c>
      <c r="R1877" s="17" t="s">
        <v>6466</v>
      </c>
      <c r="S1877" s="12"/>
      <c r="T1877" s="12"/>
      <c r="U1877" s="10" t="str">
        <f>HYPERLINK("https://pbs.twimg.com/profile_images/794505188782592000/CucFhSJw.jpg","View")</f>
        <v>View</v>
      </c>
    </row>
    <row r="1878" spans="1:21" ht="30.6">
      <c r="A1878" s="6">
        <v>43436.981874999998</v>
      </c>
      <c r="B1878" s="7" t="str">
        <f>HYPERLINK("https://twitter.com/luisbt_3","@luisbt_3")</f>
        <v>@luisbt_3</v>
      </c>
      <c r="C1878" s="8" t="s">
        <v>1266</v>
      </c>
      <c r="D1878" s="9" t="s">
        <v>6467</v>
      </c>
      <c r="E1878" s="10" t="str">
        <f>HYPERLINK("https://twitter.com/luisbt_3/status/1069359027463831553","1069359027463831553")</f>
        <v>1069359027463831553</v>
      </c>
      <c r="F1878" s="12"/>
      <c r="G1878" s="12"/>
      <c r="H1878" s="12"/>
      <c r="I1878" s="13">
        <v>2</v>
      </c>
      <c r="J1878" s="13">
        <v>4</v>
      </c>
      <c r="K1878" s="14" t="str">
        <f>HYPERLINK("http://twitter.com/download/android","Twitter for Android")</f>
        <v>Twitter for Android</v>
      </c>
      <c r="L1878" s="13">
        <v>347</v>
      </c>
      <c r="M1878" s="13">
        <v>743</v>
      </c>
      <c r="N1878" s="13">
        <v>4</v>
      </c>
      <c r="O1878" s="15"/>
      <c r="P1878" s="6">
        <v>41394.661076388889</v>
      </c>
      <c r="Q1878" s="12"/>
      <c r="R1878" s="17" t="s">
        <v>6468</v>
      </c>
      <c r="S1878" s="11" t="s">
        <v>6469</v>
      </c>
      <c r="T1878" s="12"/>
      <c r="U1878" s="10" t="str">
        <f>HYPERLINK("https://pbs.twimg.com/profile_images/1043898922446585856/qAkO-7JW.jpg","View")</f>
        <v>View</v>
      </c>
    </row>
    <row r="1879" spans="1:21" ht="40.799999999999997">
      <c r="A1879" s="6">
        <v>43436.981840277775</v>
      </c>
      <c r="B1879" s="7" t="str">
        <f>HYPERLINK("https://twitter.com/rphdz","@rphdz")</f>
        <v>@rphdz</v>
      </c>
      <c r="C1879" s="8" t="s">
        <v>6470</v>
      </c>
      <c r="D1879" s="9" t="s">
        <v>6471</v>
      </c>
      <c r="E1879" s="10" t="str">
        <f>HYPERLINK("https://twitter.com/rphdz/status/1069359013417164801","1069359013417164801")</f>
        <v>1069359013417164801</v>
      </c>
      <c r="F1879" s="12"/>
      <c r="G1879" s="12"/>
      <c r="H1879" s="12"/>
      <c r="I1879" s="13">
        <v>0</v>
      </c>
      <c r="J1879" s="13">
        <v>2</v>
      </c>
      <c r="K1879" s="14" t="str">
        <f>HYPERLINK("http://twitter.com/download/iphone","Twitter for iPhone")</f>
        <v>Twitter for iPhone</v>
      </c>
      <c r="L1879" s="13">
        <v>106</v>
      </c>
      <c r="M1879" s="13">
        <v>569</v>
      </c>
      <c r="N1879" s="13">
        <v>2</v>
      </c>
      <c r="O1879" s="15"/>
      <c r="P1879" s="6">
        <v>42754.874826388885</v>
      </c>
      <c r="Q1879" s="12"/>
      <c r="R1879" s="17" t="s">
        <v>6472</v>
      </c>
      <c r="S1879" s="12"/>
      <c r="T1879" s="12"/>
      <c r="U1879" s="10" t="str">
        <f>HYPERLINK("https://pbs.twimg.com/profile_images/822176093872459776/uHq5WOyd.jpg","View")</f>
        <v>View</v>
      </c>
    </row>
    <row r="1880" spans="1:21" ht="20.399999999999999">
      <c r="A1880" s="6">
        <v>43436.981782407413</v>
      </c>
      <c r="B1880" s="7" t="str">
        <f>HYPERLINK("https://twitter.com/silvia94rt","@silvia94rt")</f>
        <v>@silvia94rt</v>
      </c>
      <c r="C1880" s="8" t="s">
        <v>6473</v>
      </c>
      <c r="D1880" s="9" t="s">
        <v>6474</v>
      </c>
      <c r="E1880" s="10" t="str">
        <f>HYPERLINK("https://twitter.com/silvia94rt/status/1069358992911142913","1069358992911142913")</f>
        <v>1069358992911142913</v>
      </c>
      <c r="F1880" s="12"/>
      <c r="G1880" s="12"/>
      <c r="H1880" s="12"/>
      <c r="I1880" s="13">
        <v>0</v>
      </c>
      <c r="J1880" s="13">
        <v>0</v>
      </c>
      <c r="K1880" s="14" t="str">
        <f t="shared" ref="K1880:K1882" si="324">HYPERLINK("http://twitter.com/download/android","Twitter for Android")</f>
        <v>Twitter for Android</v>
      </c>
      <c r="L1880" s="13">
        <v>353</v>
      </c>
      <c r="M1880" s="13">
        <v>304</v>
      </c>
      <c r="N1880" s="13">
        <v>7</v>
      </c>
      <c r="O1880" s="15"/>
      <c r="P1880" s="6">
        <v>40958.503912037035</v>
      </c>
      <c r="Q1880" s="16" t="s">
        <v>4149</v>
      </c>
      <c r="R1880" s="17" t="s">
        <v>6475</v>
      </c>
      <c r="S1880" s="12"/>
      <c r="T1880" s="12"/>
      <c r="U1880" s="10" t="str">
        <f>HYPERLINK("https://pbs.twimg.com/profile_images/1033056585248133122/iZdkCYJi.jpg","View")</f>
        <v>View</v>
      </c>
    </row>
    <row r="1881" spans="1:21" ht="13.2">
      <c r="A1881" s="6">
        <v>43436.981782407413</v>
      </c>
      <c r="B1881" s="7" t="str">
        <f>HYPERLINK("https://twitter.com/belenmrodriguez","@belenmrodriguez")</f>
        <v>@belenmrodriguez</v>
      </c>
      <c r="C1881" s="8" t="s">
        <v>6476</v>
      </c>
      <c r="D1881" s="9" t="s">
        <v>6477</v>
      </c>
      <c r="E1881" s="10" t="str">
        <f>HYPERLINK("https://twitter.com/belenmrodriguez/status/1069358992890175488","1069358992890175488")</f>
        <v>1069358992890175488</v>
      </c>
      <c r="F1881" s="12"/>
      <c r="G1881" s="11" t="s">
        <v>6478</v>
      </c>
      <c r="H1881" s="12"/>
      <c r="I1881" s="13">
        <v>0</v>
      </c>
      <c r="J1881" s="13">
        <v>2</v>
      </c>
      <c r="K1881" s="14" t="str">
        <f t="shared" si="324"/>
        <v>Twitter for Android</v>
      </c>
      <c r="L1881" s="13">
        <v>297</v>
      </c>
      <c r="M1881" s="13">
        <v>204</v>
      </c>
      <c r="N1881" s="13">
        <v>5</v>
      </c>
      <c r="O1881" s="15"/>
      <c r="P1881" s="6">
        <v>40425.562175925923</v>
      </c>
      <c r="Q1881" s="16" t="s">
        <v>191</v>
      </c>
      <c r="R1881" s="17" t="s">
        <v>6479</v>
      </c>
      <c r="S1881" s="12"/>
      <c r="T1881" s="12"/>
      <c r="U1881" s="10" t="str">
        <f>HYPERLINK("https://pbs.twimg.com/profile_images/831578032682962945/uOtI4gii.jpg","View")</f>
        <v>View</v>
      </c>
    </row>
    <row r="1882" spans="1:21" ht="30.6">
      <c r="A1882" s="6">
        <v>43436.981770833328</v>
      </c>
      <c r="B1882" s="7" t="str">
        <f>HYPERLINK("https://twitter.com/AndyWarrol","@AndyWarrol")</f>
        <v>@AndyWarrol</v>
      </c>
      <c r="C1882" s="8" t="s">
        <v>6480</v>
      </c>
      <c r="D1882" s="9" t="s">
        <v>6481</v>
      </c>
      <c r="E1882" s="10" t="str">
        <f>HYPERLINK("https://twitter.com/AndyWarrol/status/1069358989945782275","1069358989945782275")</f>
        <v>1069358989945782275</v>
      </c>
      <c r="F1882" s="12"/>
      <c r="G1882" s="12"/>
      <c r="H1882" s="12"/>
      <c r="I1882" s="13">
        <v>1</v>
      </c>
      <c r="J1882" s="13">
        <v>1</v>
      </c>
      <c r="K1882" s="14" t="str">
        <f t="shared" si="324"/>
        <v>Twitter for Android</v>
      </c>
      <c r="L1882" s="13">
        <v>1768</v>
      </c>
      <c r="M1882" s="13">
        <v>568</v>
      </c>
      <c r="N1882" s="13">
        <v>85</v>
      </c>
      <c r="O1882" s="15"/>
      <c r="P1882" s="6">
        <v>40163.759016203701</v>
      </c>
      <c r="Q1882" s="16" t="s">
        <v>798</v>
      </c>
      <c r="R1882" s="17" t="s">
        <v>6482</v>
      </c>
      <c r="S1882" s="11" t="s">
        <v>6483</v>
      </c>
      <c r="T1882" s="12"/>
      <c r="U1882" s="10" t="str">
        <f>HYPERLINK("https://pbs.twimg.com/profile_images/1024939785343913984/Zx6uwRg2.jpg","View")</f>
        <v>View</v>
      </c>
    </row>
    <row r="1883" spans="1:21" ht="20.399999999999999">
      <c r="A1883" s="6">
        <v>43436.981770833328</v>
      </c>
      <c r="B1883" s="7" t="str">
        <f>HYPERLINK("https://twitter.com/lasfellini","@lasfellini")</f>
        <v>@lasfellini</v>
      </c>
      <c r="C1883" s="8" t="s">
        <v>6484</v>
      </c>
      <c r="D1883" s="9" t="s">
        <v>6485</v>
      </c>
      <c r="E1883" s="10" t="str">
        <f>HYPERLINK("https://twitter.com/lasfellini/status/1069358988825894913","1069358988825894913")</f>
        <v>1069358988825894913</v>
      </c>
      <c r="F1883" s="12"/>
      <c r="G1883" s="12"/>
      <c r="H1883" s="12"/>
      <c r="I1883" s="13">
        <v>0</v>
      </c>
      <c r="J1883" s="13">
        <v>0</v>
      </c>
      <c r="K1883" s="14" t="str">
        <f>HYPERLINK("http://www.facebook.com/twitter","Facebook")</f>
        <v>Facebook</v>
      </c>
      <c r="L1883" s="13">
        <v>2853</v>
      </c>
      <c r="M1883" s="13">
        <v>3128</v>
      </c>
      <c r="N1883" s="13">
        <v>27</v>
      </c>
      <c r="O1883" s="15"/>
      <c r="P1883" s="6">
        <v>40282.91300925926</v>
      </c>
      <c r="Q1883" s="16" t="s">
        <v>6486</v>
      </c>
      <c r="R1883" s="17" t="s">
        <v>6487</v>
      </c>
      <c r="S1883" s="11" t="s">
        <v>6488</v>
      </c>
      <c r="T1883" s="12"/>
      <c r="U1883" s="10" t="str">
        <f>HYPERLINK("https://pbs.twimg.com/profile_images/932687232267444225/Md8U3n5y.jpg","View")</f>
        <v>View</v>
      </c>
    </row>
    <row r="1884" spans="1:21" ht="20.399999999999999">
      <c r="A1884" s="6">
        <v>43436.981759259259</v>
      </c>
      <c r="B1884" s="7" t="str">
        <f>HYPERLINK("https://twitter.com/piloxu","@piloxu")</f>
        <v>@piloxu</v>
      </c>
      <c r="C1884" s="8" t="s">
        <v>6489</v>
      </c>
      <c r="D1884" s="9" t="s">
        <v>6490</v>
      </c>
      <c r="E1884" s="10" t="str">
        <f>HYPERLINK("https://twitter.com/piloxu/status/1069358984124133376","1069358984124133376")</f>
        <v>1069358984124133376</v>
      </c>
      <c r="F1884" s="12"/>
      <c r="G1884" s="12"/>
      <c r="H1884" s="12"/>
      <c r="I1884" s="13">
        <v>0</v>
      </c>
      <c r="J1884" s="13">
        <v>0</v>
      </c>
      <c r="K1884" s="14" t="str">
        <f>HYPERLINK("http://twitter.com/download/iphone","Twitter for iPhone")</f>
        <v>Twitter for iPhone</v>
      </c>
      <c r="L1884" s="13">
        <v>240</v>
      </c>
      <c r="M1884" s="13">
        <v>777</v>
      </c>
      <c r="N1884" s="13">
        <v>0</v>
      </c>
      <c r="O1884" s="15"/>
      <c r="P1884" s="6">
        <v>41448.470810185187</v>
      </c>
      <c r="Q1884" s="16" t="s">
        <v>854</v>
      </c>
      <c r="R1884" s="17" t="s">
        <v>6491</v>
      </c>
      <c r="S1884" s="12"/>
      <c r="T1884" s="12"/>
      <c r="U1884" s="10" t="str">
        <f>HYPERLINK("https://pbs.twimg.com/profile_images/1049405929190502402/J8IMmG1n.jpg","View")</f>
        <v>View</v>
      </c>
    </row>
    <row r="1885" spans="1:21" ht="30.6">
      <c r="A1885" s="6">
        <v>43436.981736111113</v>
      </c>
      <c r="B1885" s="7" t="str">
        <f>HYPERLINK("https://twitter.com/MsMaceta","@MsMaceta")</f>
        <v>@MsMaceta</v>
      </c>
      <c r="C1885" s="8" t="s">
        <v>6492</v>
      </c>
      <c r="D1885" s="9" t="s">
        <v>6493</v>
      </c>
      <c r="E1885" s="10" t="str">
        <f>HYPERLINK("https://twitter.com/MsMaceta/status/1069358976532471814","1069358976532471814")</f>
        <v>1069358976532471814</v>
      </c>
      <c r="F1885" s="12"/>
      <c r="G1885" s="12"/>
      <c r="H1885" s="12"/>
      <c r="I1885" s="13">
        <v>1</v>
      </c>
      <c r="J1885" s="13">
        <v>1</v>
      </c>
      <c r="K1885" s="14" t="str">
        <f>HYPERLINK("http://twitter.com/download/android","Twitter for Android")</f>
        <v>Twitter for Android</v>
      </c>
      <c r="L1885" s="13">
        <v>512</v>
      </c>
      <c r="M1885" s="13">
        <v>423</v>
      </c>
      <c r="N1885" s="13">
        <v>22</v>
      </c>
      <c r="O1885" s="15"/>
      <c r="P1885" s="6">
        <v>40950.794664351852</v>
      </c>
      <c r="Q1885" s="12"/>
      <c r="R1885" s="17" t="s">
        <v>6494</v>
      </c>
      <c r="S1885" s="11" t="s">
        <v>6495</v>
      </c>
      <c r="T1885" s="12"/>
      <c r="U1885" s="10" t="str">
        <f>HYPERLINK("https://pbs.twimg.com/profile_images/1041972643551821824/3bSU1Xji.jpg","View")</f>
        <v>View</v>
      </c>
    </row>
    <row r="1886" spans="1:21" ht="30.6">
      <c r="A1886" s="6">
        <v>43436.981736111113</v>
      </c>
      <c r="B1886" s="7" t="str">
        <f>HYPERLINK("https://twitter.com/sootmad","@sootmad")</f>
        <v>@sootmad</v>
      </c>
      <c r="C1886" s="8" t="s">
        <v>6496</v>
      </c>
      <c r="D1886" s="9" t="s">
        <v>6497</v>
      </c>
      <c r="E1886" s="10" t="str">
        <f>HYPERLINK("https://twitter.com/sootmad/status/1069358976226258949","1069358976226258949")</f>
        <v>1069358976226258949</v>
      </c>
      <c r="F1886" s="12"/>
      <c r="G1886" s="12"/>
      <c r="H1886" s="12"/>
      <c r="I1886" s="13">
        <v>0</v>
      </c>
      <c r="J1886" s="13">
        <v>0</v>
      </c>
      <c r="K1886" s="14" t="str">
        <f>HYPERLINK("http://twitter.com/download/iphone","Twitter for iPhone")</f>
        <v>Twitter for iPhone</v>
      </c>
      <c r="L1886" s="13">
        <v>152</v>
      </c>
      <c r="M1886" s="13">
        <v>547</v>
      </c>
      <c r="N1886" s="13">
        <v>7</v>
      </c>
      <c r="O1886" s="15"/>
      <c r="P1886" s="6">
        <v>40832.491030092591</v>
      </c>
      <c r="Q1886" s="12"/>
      <c r="R1886" s="17" t="s">
        <v>6498</v>
      </c>
      <c r="S1886" s="12"/>
      <c r="T1886" s="12"/>
      <c r="U1886" s="10" t="str">
        <f>HYPERLINK("https://pbs.twimg.com/profile_images/924752859173974016/TJWSXXbY.jpg","View")</f>
        <v>View</v>
      </c>
    </row>
    <row r="1887" spans="1:21" ht="40.799999999999997">
      <c r="A1887" s="6">
        <v>43436.981724537036</v>
      </c>
      <c r="B1887" s="7" t="str">
        <f>HYPERLINK("https://twitter.com/BigThanke","@BigThanke")</f>
        <v>@BigThanke</v>
      </c>
      <c r="C1887" s="8" t="s">
        <v>6499</v>
      </c>
      <c r="D1887" s="9" t="s">
        <v>6500</v>
      </c>
      <c r="E1887" s="10" t="str">
        <f>HYPERLINK("https://twitter.com/BigThanke/status/1069358974003142657","1069358974003142657")</f>
        <v>1069358974003142657</v>
      </c>
      <c r="F1887" s="12"/>
      <c r="G1887" s="12"/>
      <c r="H1887" s="12"/>
      <c r="I1887" s="13">
        <v>0</v>
      </c>
      <c r="J1887" s="13">
        <v>1</v>
      </c>
      <c r="K1887" s="14" t="str">
        <f>HYPERLINK("http://twitter.com/#!/download/ipad","Twitter for iPad")</f>
        <v>Twitter for iPad</v>
      </c>
      <c r="L1887" s="13">
        <v>70</v>
      </c>
      <c r="M1887" s="13">
        <v>118</v>
      </c>
      <c r="N1887" s="13">
        <v>4</v>
      </c>
      <c r="O1887" s="15"/>
      <c r="P1887" s="6">
        <v>40278.802152777775</v>
      </c>
      <c r="Q1887" s="16" t="s">
        <v>96</v>
      </c>
      <c r="R1887" s="17" t="s">
        <v>6501</v>
      </c>
      <c r="S1887" s="12"/>
      <c r="T1887" s="12"/>
      <c r="U1887" s="10" t="str">
        <f>HYPERLINK("https://pbs.twimg.com/profile_images/1063625698261303298/7nW0m8uG.jpg","View")</f>
        <v>View</v>
      </c>
    </row>
    <row r="1888" spans="1:21" ht="20.399999999999999">
      <c r="A1888" s="6">
        <v>43436.98170138889</v>
      </c>
      <c r="B1888" s="7" t="str">
        <f>HYPERLINK("https://twitter.com/alin_pz","@alin_pz")</f>
        <v>@alin_pz</v>
      </c>
      <c r="C1888" s="8" t="s">
        <v>6502</v>
      </c>
      <c r="D1888" s="9" t="s">
        <v>6503</v>
      </c>
      <c r="E1888" s="10" t="str">
        <f>HYPERLINK("https://twitter.com/alin_pz/status/1069358964637356038","1069358964637356038")</f>
        <v>1069358964637356038</v>
      </c>
      <c r="F1888" s="12"/>
      <c r="G1888" s="12"/>
      <c r="H1888" s="12"/>
      <c r="I1888" s="13">
        <v>0</v>
      </c>
      <c r="J1888" s="13">
        <v>3</v>
      </c>
      <c r="K1888" s="14" t="str">
        <f>HYPERLINK("http://twitter.com/download/iphone","Twitter for iPhone")</f>
        <v>Twitter for iPhone</v>
      </c>
      <c r="L1888" s="13">
        <v>222</v>
      </c>
      <c r="M1888" s="13">
        <v>171</v>
      </c>
      <c r="N1888" s="13">
        <v>1</v>
      </c>
      <c r="O1888" s="15"/>
      <c r="P1888" s="6">
        <v>40937.447118055556</v>
      </c>
      <c r="Q1888" s="12"/>
      <c r="R1888" s="17" t="s">
        <v>6504</v>
      </c>
      <c r="S1888" s="12"/>
      <c r="T1888" s="12"/>
      <c r="U1888" s="10" t="str">
        <f>HYPERLINK("https://pbs.twimg.com/profile_images/1047930761444253696/Va1y9s0Z.jpg","View")</f>
        <v>View</v>
      </c>
    </row>
    <row r="1889" spans="1:21" ht="20.399999999999999">
      <c r="A1889" s="6">
        <v>43436.981689814813</v>
      </c>
      <c r="B1889" s="7" t="str">
        <f>HYPERLINK("https://twitter.com/enriquedea","@enriquedea")</f>
        <v>@enriquedea</v>
      </c>
      <c r="C1889" s="8" t="s">
        <v>6505</v>
      </c>
      <c r="D1889" s="9" t="s">
        <v>6506</v>
      </c>
      <c r="E1889" s="10" t="str">
        <f>HYPERLINK("https://twitter.com/enriquedea/status/1069358960690503685","1069358960690503685")</f>
        <v>1069358960690503685</v>
      </c>
      <c r="F1889" s="12"/>
      <c r="G1889" s="12"/>
      <c r="H1889" s="12"/>
      <c r="I1889" s="13">
        <v>0</v>
      </c>
      <c r="J1889" s="13">
        <v>0</v>
      </c>
      <c r="K1889" s="14" t="str">
        <f>HYPERLINK("http://twitter.com/download/android","Twitter for Android")</f>
        <v>Twitter for Android</v>
      </c>
      <c r="L1889" s="13">
        <v>2744</v>
      </c>
      <c r="M1889" s="13">
        <v>1629</v>
      </c>
      <c r="N1889" s="13">
        <v>69</v>
      </c>
      <c r="O1889" s="15"/>
      <c r="P1889" s="6">
        <v>40623.91778935185</v>
      </c>
      <c r="Q1889" s="16" t="s">
        <v>191</v>
      </c>
      <c r="R1889" s="17" t="s">
        <v>6507</v>
      </c>
      <c r="S1889" s="12"/>
      <c r="T1889" s="12"/>
      <c r="U1889" s="10" t="str">
        <f>HYPERLINK("https://pbs.twimg.com/profile_images/560837187231440896/bg3aqtrb.jpeg","View")</f>
        <v>View</v>
      </c>
    </row>
    <row r="1890" spans="1:21" ht="20.399999999999999">
      <c r="A1890" s="6">
        <v>43436.981689814813</v>
      </c>
      <c r="B1890" s="7" t="str">
        <f>HYPERLINK("https://twitter.com/MadayTeatro","@MadayTeatro")</f>
        <v>@MadayTeatro</v>
      </c>
      <c r="C1890" s="8" t="s">
        <v>6508</v>
      </c>
      <c r="D1890" s="9" t="s">
        <v>6509</v>
      </c>
      <c r="E1890" s="10" t="str">
        <f>HYPERLINK("https://twitter.com/MadayTeatro/status/1069358959302270978","1069358959302270978")</f>
        <v>1069358959302270978</v>
      </c>
      <c r="F1890" s="12"/>
      <c r="G1890" s="12"/>
      <c r="H1890" s="12"/>
      <c r="I1890" s="13">
        <v>0</v>
      </c>
      <c r="J1890" s="13">
        <v>0</v>
      </c>
      <c r="K1890" s="14" t="str">
        <f>HYPERLINK("http://twitter.com","Twitter Web Client")</f>
        <v>Twitter Web Client</v>
      </c>
      <c r="L1890" s="13">
        <v>273</v>
      </c>
      <c r="M1890" s="13">
        <v>154</v>
      </c>
      <c r="N1890" s="13">
        <v>6</v>
      </c>
      <c r="O1890" s="15"/>
      <c r="P1890" s="6">
        <v>40933.970370370371</v>
      </c>
      <c r="Q1890" s="16" t="s">
        <v>4502</v>
      </c>
      <c r="R1890" s="17" t="s">
        <v>6510</v>
      </c>
      <c r="S1890" s="11" t="s">
        <v>6511</v>
      </c>
      <c r="T1890" s="12"/>
      <c r="U1890" s="10" t="str">
        <f>HYPERLINK("https://pbs.twimg.com/profile_images/378800000636478084/6a8f921d3d87e26162b2119cca07b098.jpeg","View")</f>
        <v>View</v>
      </c>
    </row>
    <row r="1891" spans="1:21" ht="30.6">
      <c r="A1891" s="6">
        <v>43436.98165509259</v>
      </c>
      <c r="B1891" s="7" t="str">
        <f>HYPERLINK("https://twitter.com/BornesCarvajal","@BornesCarvajal")</f>
        <v>@BornesCarvajal</v>
      </c>
      <c r="C1891" s="8" t="s">
        <v>6512</v>
      </c>
      <c r="D1891" s="9" t="s">
        <v>6513</v>
      </c>
      <c r="E1891" s="10" t="str">
        <f>HYPERLINK("https://twitter.com/BornesCarvajal/status/1069358948678025216","1069358948678025216")</f>
        <v>1069358948678025216</v>
      </c>
      <c r="F1891" s="12"/>
      <c r="G1891" s="11" t="s">
        <v>6514</v>
      </c>
      <c r="H1891" s="12"/>
      <c r="I1891" s="13">
        <v>0</v>
      </c>
      <c r="J1891" s="13">
        <v>0</v>
      </c>
      <c r="K1891" s="14" t="str">
        <f>HYPERLINK("http://twitter.com/download/android","Twitter for Android")</f>
        <v>Twitter for Android</v>
      </c>
      <c r="L1891" s="13">
        <v>25</v>
      </c>
      <c r="M1891" s="13">
        <v>63</v>
      </c>
      <c r="N1891" s="13">
        <v>0</v>
      </c>
      <c r="O1891" s="15"/>
      <c r="P1891" s="6">
        <v>43342.674583333333</v>
      </c>
      <c r="Q1891" s="16" t="s">
        <v>6515</v>
      </c>
      <c r="R1891" s="17" t="s">
        <v>6516</v>
      </c>
      <c r="S1891" s="12"/>
      <c r="T1891" s="12"/>
      <c r="U1891" s="10" t="str">
        <f>HYPERLINK("https://pbs.twimg.com/profile_images/1062498120272134146/MMEwah58.jpg","View")</f>
        <v>View</v>
      </c>
    </row>
    <row r="1892" spans="1:21" ht="40.799999999999997">
      <c r="A1892" s="6">
        <v>43436.98165509259</v>
      </c>
      <c r="B1892" s="7" t="str">
        <f>HYPERLINK("https://twitter.com/LaMalagaModerna","@LaMalagaModerna")</f>
        <v>@LaMalagaModerna</v>
      </c>
      <c r="C1892" s="8" t="s">
        <v>6517</v>
      </c>
      <c r="D1892" s="9" t="s">
        <v>6518</v>
      </c>
      <c r="E1892" s="10" t="str">
        <f>HYPERLINK("https://twitter.com/LaMalagaModerna/status/1069358948610973697","1069358948610973697")</f>
        <v>1069358948610973697</v>
      </c>
      <c r="F1892" s="12"/>
      <c r="G1892" s="12"/>
      <c r="H1892" s="12"/>
      <c r="I1892" s="13">
        <v>11</v>
      </c>
      <c r="J1892" s="13">
        <v>45</v>
      </c>
      <c r="K1892" s="14" t="str">
        <f t="shared" ref="K1892:K1893" si="325">HYPERLINK("http://twitter.com/download/iphone","Twitter for iPhone")</f>
        <v>Twitter for iPhone</v>
      </c>
      <c r="L1892" s="13">
        <v>3586</v>
      </c>
      <c r="M1892" s="13">
        <v>1539</v>
      </c>
      <c r="N1892" s="13">
        <v>71</v>
      </c>
      <c r="O1892" s="15"/>
      <c r="P1892" s="6">
        <v>41594.433321759258</v>
      </c>
      <c r="Q1892" s="16" t="s">
        <v>6519</v>
      </c>
      <c r="R1892" s="17" t="s">
        <v>6520</v>
      </c>
      <c r="S1892" s="12"/>
      <c r="T1892" s="12"/>
      <c r="U1892" s="10" t="str">
        <f>HYPERLINK("https://pbs.twimg.com/profile_images/1062693799246422018/PiTWyaY-.jpg","View")</f>
        <v>View</v>
      </c>
    </row>
    <row r="1893" spans="1:21" ht="20.399999999999999">
      <c r="A1893" s="6">
        <v>43436.98165509259</v>
      </c>
      <c r="B1893" s="7" t="str">
        <f>HYPERLINK("https://twitter.com/lamujerdelvelo","@lamujerdelvelo")</f>
        <v>@lamujerdelvelo</v>
      </c>
      <c r="C1893" s="8" t="s">
        <v>6521</v>
      </c>
      <c r="D1893" s="9" t="s">
        <v>6522</v>
      </c>
      <c r="E1893" s="10" t="str">
        <f>HYPERLINK("https://twitter.com/lamujerdelvelo/status/1069358947243573251","1069358947243573251")</f>
        <v>1069358947243573251</v>
      </c>
      <c r="F1893" s="12"/>
      <c r="G1893" s="12"/>
      <c r="H1893" s="12"/>
      <c r="I1893" s="13">
        <v>0</v>
      </c>
      <c r="J1893" s="13">
        <v>2</v>
      </c>
      <c r="K1893" s="14" t="str">
        <f t="shared" si="325"/>
        <v>Twitter for iPhone</v>
      </c>
      <c r="L1893" s="13">
        <v>355</v>
      </c>
      <c r="M1893" s="13">
        <v>355</v>
      </c>
      <c r="N1893" s="13">
        <v>14</v>
      </c>
      <c r="O1893" s="15"/>
      <c r="P1893" s="6">
        <v>41017.856261574074</v>
      </c>
      <c r="Q1893" s="12"/>
      <c r="R1893" s="17" t="s">
        <v>6523</v>
      </c>
      <c r="S1893" s="12"/>
      <c r="T1893" s="12"/>
      <c r="U1893" s="10" t="str">
        <f>HYPERLINK("https://pbs.twimg.com/profile_images/870188954422837248/uwIdCy-w.jpg","View")</f>
        <v>View</v>
      </c>
    </row>
    <row r="1894" spans="1:21" ht="30.6">
      <c r="A1894" s="6">
        <v>43436.981585648144</v>
      </c>
      <c r="B1894" s="7" t="str">
        <f>HYPERLINK("https://twitter.com/PechitosMcTetys","@PechitosMcTetys")</f>
        <v>@PechitosMcTetys</v>
      </c>
      <c r="C1894" s="8" t="s">
        <v>6524</v>
      </c>
      <c r="D1894" s="9" t="s">
        <v>6525</v>
      </c>
      <c r="E1894" s="10" t="str">
        <f>HYPERLINK("https://twitter.com/PechitosMcTetys/status/1069358922958585857","1069358922958585857")</f>
        <v>1069358922958585857</v>
      </c>
      <c r="F1894" s="12"/>
      <c r="G1894" s="12"/>
      <c r="H1894" s="12"/>
      <c r="I1894" s="13">
        <v>0</v>
      </c>
      <c r="J1894" s="13">
        <v>0</v>
      </c>
      <c r="K1894" s="14" t="str">
        <f t="shared" ref="K1894:K1896" si="326">HYPERLINK("http://twitter.com/download/android","Twitter for Android")</f>
        <v>Twitter for Android</v>
      </c>
      <c r="L1894" s="13">
        <v>132</v>
      </c>
      <c r="M1894" s="13">
        <v>338</v>
      </c>
      <c r="N1894" s="13">
        <v>1</v>
      </c>
      <c r="O1894" s="15"/>
      <c r="P1894" s="6">
        <v>41297.82472222222</v>
      </c>
      <c r="Q1894" s="16" t="s">
        <v>6526</v>
      </c>
      <c r="R1894" s="17" t="s">
        <v>6527</v>
      </c>
      <c r="S1894" s="12"/>
      <c r="T1894" s="12"/>
      <c r="U1894" s="10" t="str">
        <f>HYPERLINK("https://pbs.twimg.com/profile_images/974354876921778176/Qdcw9WzT.jpg","View")</f>
        <v>View</v>
      </c>
    </row>
    <row r="1895" spans="1:21" ht="40.799999999999997">
      <c r="A1895" s="6">
        <v>43436.981539351851</v>
      </c>
      <c r="B1895" s="7" t="str">
        <f>HYPERLINK("https://twitter.com/SANDRASARAG1","@SANDRASARAG1")</f>
        <v>@SANDRASARAG1</v>
      </c>
      <c r="C1895" s="8" t="s">
        <v>6528</v>
      </c>
      <c r="D1895" s="9" t="s">
        <v>6529</v>
      </c>
      <c r="E1895" s="10" t="str">
        <f>HYPERLINK("https://twitter.com/SANDRASARAG1/status/1069358907615789058","1069358907615789058")</f>
        <v>1069358907615789058</v>
      </c>
      <c r="F1895" s="12"/>
      <c r="G1895" s="12"/>
      <c r="H1895" s="12"/>
      <c r="I1895" s="13">
        <v>0</v>
      </c>
      <c r="J1895" s="13">
        <v>1</v>
      </c>
      <c r="K1895" s="14" t="str">
        <f t="shared" si="326"/>
        <v>Twitter for Android</v>
      </c>
      <c r="L1895" s="13">
        <v>34</v>
      </c>
      <c r="M1895" s="13">
        <v>85</v>
      </c>
      <c r="N1895" s="13">
        <v>0</v>
      </c>
      <c r="O1895" s="15"/>
      <c r="P1895" s="6">
        <v>42719.458495370374</v>
      </c>
      <c r="Q1895" s="12"/>
      <c r="R1895" s="17" t="s">
        <v>6530</v>
      </c>
      <c r="S1895" s="12"/>
      <c r="T1895" s="12"/>
      <c r="U1895" s="10" t="str">
        <f>HYPERLINK("https://pbs.twimg.com/profile_images/809343706671222784/w8RcEI5Y.jpg","View")</f>
        <v>View</v>
      </c>
    </row>
    <row r="1896" spans="1:21" ht="13.2">
      <c r="A1896" s="6">
        <v>43436.981527777782</v>
      </c>
      <c r="B1896" s="7" t="str">
        <f>HYPERLINK("https://twitter.com/killertati71","@killertati71")</f>
        <v>@killertati71</v>
      </c>
      <c r="C1896" s="8" t="s">
        <v>6531</v>
      </c>
      <c r="D1896" s="9" t="s">
        <v>6532</v>
      </c>
      <c r="E1896" s="10" t="str">
        <f>HYPERLINK("https://twitter.com/killertati71/status/1069358901445963778","1069358901445963778")</f>
        <v>1069358901445963778</v>
      </c>
      <c r="F1896" s="12"/>
      <c r="G1896" s="12"/>
      <c r="H1896" s="12"/>
      <c r="I1896" s="13">
        <v>0</v>
      </c>
      <c r="J1896" s="13">
        <v>1</v>
      </c>
      <c r="K1896" s="14" t="str">
        <f t="shared" si="326"/>
        <v>Twitter for Android</v>
      </c>
      <c r="L1896" s="13">
        <v>911</v>
      </c>
      <c r="M1896" s="13">
        <v>366</v>
      </c>
      <c r="N1896" s="13">
        <v>23</v>
      </c>
      <c r="O1896" s="15"/>
      <c r="P1896" s="6">
        <v>41290.854270833333</v>
      </c>
      <c r="Q1896" s="16" t="s">
        <v>6533</v>
      </c>
      <c r="R1896" s="17" t="s">
        <v>6534</v>
      </c>
      <c r="S1896" s="11" t="s">
        <v>6535</v>
      </c>
      <c r="T1896" s="12"/>
      <c r="U1896" s="10" t="str">
        <f>HYPERLINK("https://pbs.twimg.com/profile_images/1018542249205030914/JUYTDKGF.jpg","View")</f>
        <v>View</v>
      </c>
    </row>
    <row r="1897" spans="1:21" ht="30.6">
      <c r="A1897" s="6">
        <v>43436.981504629628</v>
      </c>
      <c r="B1897" s="7" t="str">
        <f>HYPERLINK("https://twitter.com/jaimoxo17","@jaimoxo17")</f>
        <v>@jaimoxo17</v>
      </c>
      <c r="C1897" s="8" t="s">
        <v>6536</v>
      </c>
      <c r="D1897" s="9" t="s">
        <v>6538</v>
      </c>
      <c r="E1897" s="10" t="str">
        <f>HYPERLINK("https://twitter.com/jaimoxo17/status/1069358893862739969","1069358893862739969")</f>
        <v>1069358893862739969</v>
      </c>
      <c r="F1897" s="12"/>
      <c r="G1897" s="12"/>
      <c r="H1897" s="12"/>
      <c r="I1897" s="13">
        <v>0</v>
      </c>
      <c r="J1897" s="13">
        <v>0</v>
      </c>
      <c r="K1897" s="14" t="str">
        <f t="shared" ref="K1897:K1898" si="327">HYPERLINK("http://twitter.com/download/iphone","Twitter for iPhone")</f>
        <v>Twitter for iPhone</v>
      </c>
      <c r="L1897" s="13">
        <v>345</v>
      </c>
      <c r="M1897" s="13">
        <v>368</v>
      </c>
      <c r="N1897" s="13">
        <v>2</v>
      </c>
      <c r="O1897" s="15"/>
      <c r="P1897" s="6">
        <v>40823.946759259255</v>
      </c>
      <c r="Q1897" s="16" t="s">
        <v>6539</v>
      </c>
      <c r="R1897" s="17" t="s">
        <v>6540</v>
      </c>
      <c r="S1897" s="12"/>
      <c r="T1897" s="12"/>
      <c r="U1897" s="10" t="str">
        <f>HYPERLINK("https://pbs.twimg.com/profile_images/817449199969193984/uXXbLrKz.jpg","View")</f>
        <v>View</v>
      </c>
    </row>
    <row r="1898" spans="1:21" ht="20.399999999999999">
      <c r="A1898" s="6">
        <v>43436.981412037036</v>
      </c>
      <c r="B1898" s="7" t="str">
        <f>HYPERLINK("https://twitter.com/rafadelolmog","@rafadelolmog")</f>
        <v>@rafadelolmog</v>
      </c>
      <c r="C1898" s="8" t="s">
        <v>4858</v>
      </c>
      <c r="D1898" s="9" t="s">
        <v>6543</v>
      </c>
      <c r="E1898" s="10" t="str">
        <f>HYPERLINK("https://twitter.com/rafadelolmog/status/1069358860371140610","1069358860371140610")</f>
        <v>1069358860371140610</v>
      </c>
      <c r="F1898" s="12"/>
      <c r="G1898" s="12"/>
      <c r="H1898" s="12"/>
      <c r="I1898" s="13">
        <v>0</v>
      </c>
      <c r="J1898" s="13">
        <v>1</v>
      </c>
      <c r="K1898" s="14" t="str">
        <f t="shared" si="327"/>
        <v>Twitter for iPhone</v>
      </c>
      <c r="L1898" s="13">
        <v>3227</v>
      </c>
      <c r="M1898" s="13">
        <v>911</v>
      </c>
      <c r="N1898" s="13">
        <v>131</v>
      </c>
      <c r="O1898" s="15"/>
      <c r="P1898" s="6">
        <v>40325.697685185187</v>
      </c>
      <c r="Q1898" s="16" t="s">
        <v>191</v>
      </c>
      <c r="R1898" s="17" t="s">
        <v>4860</v>
      </c>
      <c r="S1898" s="12"/>
      <c r="T1898" s="12"/>
      <c r="U1898" s="10" t="str">
        <f>HYPERLINK("https://pbs.twimg.com/profile_images/681579557397368832/pItsv65b.jpg","View")</f>
        <v>View</v>
      </c>
    </row>
    <row r="1899" spans="1:21" ht="51">
      <c r="A1899" s="6">
        <v>43436.981354166666</v>
      </c>
      <c r="B1899" s="7" t="str">
        <f>HYPERLINK("https://twitter.com/europapress","@europapress")</f>
        <v>@europapress</v>
      </c>
      <c r="C1899" s="8" t="s">
        <v>1967</v>
      </c>
      <c r="D1899" s="9" t="s">
        <v>6544</v>
      </c>
      <c r="E1899" s="10" t="str">
        <f>HYPERLINK("https://twitter.com/europapress/status/1069358840204939264","1069358840204939264")</f>
        <v>1069358840204939264</v>
      </c>
      <c r="F1899" s="12"/>
      <c r="G1899" s="11" t="s">
        <v>6545</v>
      </c>
      <c r="H1899" s="12"/>
      <c r="I1899" s="13">
        <v>10</v>
      </c>
      <c r="J1899" s="13">
        <v>28</v>
      </c>
      <c r="K1899" s="14" t="str">
        <f>HYPERLINK("https://about.twitter.com/products/tweetdeck","TweetDeck")</f>
        <v>TweetDeck</v>
      </c>
      <c r="L1899" s="13">
        <v>1100735</v>
      </c>
      <c r="M1899" s="13">
        <v>1101</v>
      </c>
      <c r="N1899" s="13">
        <v>13751</v>
      </c>
      <c r="O1899" s="19" t="s">
        <v>44</v>
      </c>
      <c r="P1899" s="6">
        <v>40246.461956018517</v>
      </c>
      <c r="Q1899" s="12"/>
      <c r="R1899" s="17" t="s">
        <v>3535</v>
      </c>
      <c r="S1899" s="11" t="s">
        <v>3536</v>
      </c>
      <c r="T1899" s="12"/>
      <c r="U1899" s="10" t="str">
        <f>HYPERLINK("https://pbs.twimg.com/profile_images/876740155473788928/4V7ewUTC.jpg","View")</f>
        <v>View</v>
      </c>
    </row>
    <row r="1900" spans="1:21" ht="30.6">
      <c r="A1900" s="6">
        <v>43436.981342592597</v>
      </c>
      <c r="B1900" s="7" t="str">
        <f>HYPERLINK("https://twitter.com/frantrejoj","@frantrejoj")</f>
        <v>@frantrejoj</v>
      </c>
      <c r="C1900" s="8" t="s">
        <v>6546</v>
      </c>
      <c r="D1900" s="9" t="s">
        <v>6547</v>
      </c>
      <c r="E1900" s="10" t="str">
        <f>HYPERLINK("https://twitter.com/frantrejoj/status/1069358834177765377","1069358834177765377")</f>
        <v>1069358834177765377</v>
      </c>
      <c r="F1900" s="12"/>
      <c r="G1900" s="12"/>
      <c r="H1900" s="12"/>
      <c r="I1900" s="13">
        <v>0</v>
      </c>
      <c r="J1900" s="13">
        <v>0</v>
      </c>
      <c r="K1900" s="14" t="str">
        <f>HYPERLINK("http://twitter.com/download/iphone","Twitter for iPhone")</f>
        <v>Twitter for iPhone</v>
      </c>
      <c r="L1900" s="13">
        <v>1082</v>
      </c>
      <c r="M1900" s="13">
        <v>336</v>
      </c>
      <c r="N1900" s="13">
        <v>45</v>
      </c>
      <c r="O1900" s="15"/>
      <c r="P1900" s="6">
        <v>40629.963229166664</v>
      </c>
      <c r="Q1900" s="16" t="s">
        <v>191</v>
      </c>
      <c r="R1900" s="17" t="s">
        <v>6548</v>
      </c>
      <c r="S1900" s="11" t="s">
        <v>6549</v>
      </c>
      <c r="T1900" s="12"/>
      <c r="U1900" s="10" t="str">
        <f>HYPERLINK("https://pbs.twimg.com/profile_images/1068411376790589440/TQM-5NRC.jpg","View")</f>
        <v>View</v>
      </c>
    </row>
    <row r="1901" spans="1:21" ht="30.6">
      <c r="A1901" s="6">
        <v>43436.98133101852</v>
      </c>
      <c r="B1901" s="7" t="str">
        <f>HYPERLINK("https://twitter.com/MAntoniaSerra","@MAntoniaSerra")</f>
        <v>@MAntoniaSerra</v>
      </c>
      <c r="C1901" s="8" t="s">
        <v>6550</v>
      </c>
      <c r="D1901" s="9" t="s">
        <v>6551</v>
      </c>
      <c r="E1901" s="10" t="str">
        <f>HYPERLINK("https://twitter.com/MAntoniaSerra/status/1069358832277704704","1069358832277704704")</f>
        <v>1069358832277704704</v>
      </c>
      <c r="F1901" s="12"/>
      <c r="G1901" s="12"/>
      <c r="H1901" s="12"/>
      <c r="I1901" s="13">
        <v>2</v>
      </c>
      <c r="J1901" s="13">
        <v>1</v>
      </c>
      <c r="K1901" s="14" t="str">
        <f t="shared" ref="K1901:K1903" si="328">HYPERLINK("http://twitter.com/download/android","Twitter for Android")</f>
        <v>Twitter for Android</v>
      </c>
      <c r="L1901" s="13">
        <v>3771</v>
      </c>
      <c r="M1901" s="13">
        <v>683</v>
      </c>
      <c r="N1901" s="13">
        <v>105</v>
      </c>
      <c r="O1901" s="15"/>
      <c r="P1901" s="6">
        <v>40619.712557870371</v>
      </c>
      <c r="Q1901" s="16" t="s">
        <v>772</v>
      </c>
      <c r="R1901" s="17" t="s">
        <v>6552</v>
      </c>
      <c r="S1901" s="12"/>
      <c r="T1901" s="12"/>
      <c r="U1901" s="10" t="str">
        <f>HYPERLINK("https://pbs.twimg.com/profile_images/907698445229707265/WIPephQT.jpg","View")</f>
        <v>View</v>
      </c>
    </row>
    <row r="1902" spans="1:21" ht="51">
      <c r="A1902" s="6">
        <v>43436.98133101852</v>
      </c>
      <c r="B1902" s="7" t="str">
        <f>HYPERLINK("https://twitter.com/RobertoZN","@RobertoZN")</f>
        <v>@RobertoZN</v>
      </c>
      <c r="C1902" s="8" t="s">
        <v>6553</v>
      </c>
      <c r="D1902" s="9" t="s">
        <v>6554</v>
      </c>
      <c r="E1902" s="10" t="str">
        <f>HYPERLINK("https://twitter.com/RobertoZN/status/1069358831577309185","1069358831577309185")</f>
        <v>1069358831577309185</v>
      </c>
      <c r="F1902" s="12"/>
      <c r="G1902" s="12"/>
      <c r="H1902" s="12"/>
      <c r="I1902" s="13">
        <v>0</v>
      </c>
      <c r="J1902" s="13">
        <v>1</v>
      </c>
      <c r="K1902" s="14" t="str">
        <f t="shared" si="328"/>
        <v>Twitter for Android</v>
      </c>
      <c r="L1902" s="13">
        <v>1221</v>
      </c>
      <c r="M1902" s="13">
        <v>1738</v>
      </c>
      <c r="N1902" s="13">
        <v>39</v>
      </c>
      <c r="O1902" s="15"/>
      <c r="P1902" s="6">
        <v>40575.504756944443</v>
      </c>
      <c r="Q1902" s="16" t="s">
        <v>6555</v>
      </c>
      <c r="R1902" s="17" t="s">
        <v>6556</v>
      </c>
      <c r="S1902" s="11" t="s">
        <v>6557</v>
      </c>
      <c r="T1902" s="12"/>
      <c r="U1902" s="10" t="str">
        <f>HYPERLINK("https://pbs.twimg.com/profile_images/914785570940911616/EFTYwn84.jpg","View")</f>
        <v>View</v>
      </c>
    </row>
    <row r="1903" spans="1:21" ht="30.6">
      <c r="A1903" s="6">
        <v>43436.981319444443</v>
      </c>
      <c r="B1903" s="7" t="str">
        <f>HYPERLINK("https://twitter.com/ariadejo","@ariadejo")</f>
        <v>@ariadejo</v>
      </c>
      <c r="C1903" s="8" t="s">
        <v>6558</v>
      </c>
      <c r="D1903" s="9" t="s">
        <v>6559</v>
      </c>
      <c r="E1903" s="10" t="str">
        <f>HYPERLINK("https://twitter.com/ariadejo/status/1069358827802365952","1069358827802365952")</f>
        <v>1069358827802365952</v>
      </c>
      <c r="F1903" s="12"/>
      <c r="G1903" s="12"/>
      <c r="H1903" s="12"/>
      <c r="I1903" s="13">
        <v>0</v>
      </c>
      <c r="J1903" s="13">
        <v>0</v>
      </c>
      <c r="K1903" s="14" t="str">
        <f t="shared" si="328"/>
        <v>Twitter for Android</v>
      </c>
      <c r="L1903" s="13">
        <v>215</v>
      </c>
      <c r="M1903" s="13">
        <v>362</v>
      </c>
      <c r="N1903" s="13">
        <v>3</v>
      </c>
      <c r="O1903" s="15"/>
      <c r="P1903" s="6">
        <v>42141.653819444444</v>
      </c>
      <c r="Q1903" s="12"/>
      <c r="R1903" s="17" t="s">
        <v>6560</v>
      </c>
      <c r="S1903" s="12"/>
      <c r="T1903" s="12"/>
      <c r="U1903" s="10" t="str">
        <f>HYPERLINK("https://pbs.twimg.com/profile_images/859449575530266626/7cJ357hv.jpg","View")</f>
        <v>View</v>
      </c>
    </row>
    <row r="1904" spans="1:21" ht="13.2">
      <c r="A1904" s="6">
        <v>43436.981319444443</v>
      </c>
      <c r="B1904" s="7" t="str">
        <f>HYPERLINK("https://twitter.com/chefidiaz","@chefidiaz")</f>
        <v>@chefidiaz</v>
      </c>
      <c r="C1904" s="8" t="s">
        <v>6561</v>
      </c>
      <c r="D1904" s="9" t="s">
        <v>6562</v>
      </c>
      <c r="E1904" s="10" t="str">
        <f>HYPERLINK("https://twitter.com/chefidiaz/status/1069358826128883714","1069358826128883714")</f>
        <v>1069358826128883714</v>
      </c>
      <c r="F1904" s="12"/>
      <c r="G1904" s="12"/>
      <c r="H1904" s="12"/>
      <c r="I1904" s="13">
        <v>0</v>
      </c>
      <c r="J1904" s="13">
        <v>0</v>
      </c>
      <c r="K1904" s="14" t="str">
        <f>HYPERLINK("http://twitter.com/download/iphone","Twitter for iPhone")</f>
        <v>Twitter for iPhone</v>
      </c>
      <c r="L1904" s="13">
        <v>1426</v>
      </c>
      <c r="M1904" s="13">
        <v>449</v>
      </c>
      <c r="N1904" s="13">
        <v>53</v>
      </c>
      <c r="O1904" s="15"/>
      <c r="P1904" s="6">
        <v>40618.512777777782</v>
      </c>
      <c r="Q1904" s="16" t="s">
        <v>6563</v>
      </c>
      <c r="R1904" s="17" t="s">
        <v>6564</v>
      </c>
      <c r="S1904" s="11" t="s">
        <v>6565</v>
      </c>
      <c r="T1904" s="12"/>
      <c r="U1904" s="10" t="str">
        <f>HYPERLINK("https://pbs.twimg.com/profile_images/1013403543066247168/XFx4kuCq.jpg","View")</f>
        <v>View</v>
      </c>
    </row>
    <row r="1905" spans="1:21" ht="40.799999999999997">
      <c r="A1905" s="6">
        <v>43436.981319444443</v>
      </c>
      <c r="B1905" s="7" t="str">
        <f>HYPERLINK("https://twitter.com/SirFrancis84","@SirFrancis84")</f>
        <v>@SirFrancis84</v>
      </c>
      <c r="C1905" s="8" t="s">
        <v>4608</v>
      </c>
      <c r="D1905" s="9" t="s">
        <v>6566</v>
      </c>
      <c r="E1905" s="10" t="str">
        <f>HYPERLINK("https://twitter.com/SirFrancis84/status/1069358825055109120","1069358825055109120")</f>
        <v>1069358825055109120</v>
      </c>
      <c r="F1905" s="12"/>
      <c r="G1905" s="12"/>
      <c r="H1905" s="12"/>
      <c r="I1905" s="13">
        <v>1</v>
      </c>
      <c r="J1905" s="13">
        <v>1</v>
      </c>
      <c r="K1905" s="14" t="str">
        <f t="shared" ref="K1905:K1907" si="329">HYPERLINK("http://twitter.com/download/android","Twitter for Android")</f>
        <v>Twitter for Android</v>
      </c>
      <c r="L1905" s="13">
        <v>299</v>
      </c>
      <c r="M1905" s="13">
        <v>859</v>
      </c>
      <c r="N1905" s="13">
        <v>4</v>
      </c>
      <c r="O1905" s="15"/>
      <c r="P1905" s="6">
        <v>41205.03266203704</v>
      </c>
      <c r="Q1905" s="16" t="s">
        <v>328</v>
      </c>
      <c r="R1905" s="17" t="s">
        <v>4610</v>
      </c>
      <c r="S1905" s="12"/>
      <c r="T1905" s="12"/>
      <c r="U1905" s="10" t="str">
        <f>HYPERLINK("https://pbs.twimg.com/profile_images/920356673432293376/vFaTeRHJ.jpg","View")</f>
        <v>View</v>
      </c>
    </row>
    <row r="1906" spans="1:21" ht="20.399999999999999">
      <c r="A1906" s="6">
        <v>43436.981307870374</v>
      </c>
      <c r="B1906" s="7" t="str">
        <f>HYPERLINK("https://twitter.com/CortioMalties","@CortioMalties")</f>
        <v>@CortioMalties</v>
      </c>
      <c r="C1906" s="8" t="s">
        <v>6567</v>
      </c>
      <c r="D1906" s="9" t="s">
        <v>6568</v>
      </c>
      <c r="E1906" s="10" t="str">
        <f>HYPERLINK("https://twitter.com/CortioMalties/status/1069358821255061504","1069358821255061504")</f>
        <v>1069358821255061504</v>
      </c>
      <c r="F1906" s="12"/>
      <c r="G1906" s="12"/>
      <c r="H1906" s="12"/>
      <c r="I1906" s="13">
        <v>1</v>
      </c>
      <c r="J1906" s="13">
        <v>3</v>
      </c>
      <c r="K1906" s="14" t="str">
        <f t="shared" si="329"/>
        <v>Twitter for Android</v>
      </c>
      <c r="L1906" s="13">
        <v>1457</v>
      </c>
      <c r="M1906" s="13">
        <v>942</v>
      </c>
      <c r="N1906" s="13">
        <v>32</v>
      </c>
      <c r="O1906" s="15"/>
      <c r="P1906" s="6">
        <v>41721.075196759259</v>
      </c>
      <c r="Q1906" s="12"/>
      <c r="R1906" s="17" t="s">
        <v>6569</v>
      </c>
      <c r="S1906" s="12"/>
      <c r="T1906" s="12"/>
      <c r="U1906" s="10" t="str">
        <f>HYPERLINK("https://pbs.twimg.com/profile_images/524117499269230592/vT8-iXyt.jpeg","View")</f>
        <v>View</v>
      </c>
    </row>
    <row r="1907" spans="1:21" ht="51">
      <c r="A1907" s="6">
        <v>43436.981261574074</v>
      </c>
      <c r="B1907" s="7" t="str">
        <f>HYPERLINK("https://twitter.com/Crisbb96","@Crisbb96")</f>
        <v>@Crisbb96</v>
      </c>
      <c r="C1907" s="8" t="s">
        <v>6570</v>
      </c>
      <c r="D1907" s="9" t="s">
        <v>6571</v>
      </c>
      <c r="E1907" s="10" t="str">
        <f>HYPERLINK("https://twitter.com/Crisbb96/status/1069358805354459137","1069358805354459137")</f>
        <v>1069358805354459137</v>
      </c>
      <c r="F1907" s="12"/>
      <c r="G1907" s="12"/>
      <c r="H1907" s="12"/>
      <c r="I1907" s="13">
        <v>0</v>
      </c>
      <c r="J1907" s="13">
        <v>0</v>
      </c>
      <c r="K1907" s="14" t="str">
        <f t="shared" si="329"/>
        <v>Twitter for Android</v>
      </c>
      <c r="L1907" s="13">
        <v>3106</v>
      </c>
      <c r="M1907" s="13">
        <v>3436</v>
      </c>
      <c r="N1907" s="13">
        <v>72</v>
      </c>
      <c r="O1907" s="15"/>
      <c r="P1907" s="6">
        <v>41303.707337962966</v>
      </c>
      <c r="Q1907" s="16" t="s">
        <v>1455</v>
      </c>
      <c r="R1907" s="17" t="s">
        <v>6572</v>
      </c>
      <c r="S1907" s="11" t="s">
        <v>6573</v>
      </c>
      <c r="T1907" s="12"/>
      <c r="U1907" s="10" t="str">
        <f>HYPERLINK("https://pbs.twimg.com/profile_images/1067146887147458570/qzZI2LDr.jpg","View")</f>
        <v>View</v>
      </c>
    </row>
    <row r="1908" spans="1:21" ht="40.799999999999997">
      <c r="A1908" s="6">
        <v>43436.981238425928</v>
      </c>
      <c r="B1908" s="7" t="str">
        <f>HYPERLINK("https://twitter.com/dvd_rjs","@dvd_rjs")</f>
        <v>@dvd_rjs</v>
      </c>
      <c r="C1908" s="8" t="s">
        <v>6574</v>
      </c>
      <c r="D1908" s="9" t="s">
        <v>6575</v>
      </c>
      <c r="E1908" s="10" t="str">
        <f>HYPERLINK("https://twitter.com/dvd_rjs/status/1069358797905383431","1069358797905383431")</f>
        <v>1069358797905383431</v>
      </c>
      <c r="F1908" s="12"/>
      <c r="G1908" s="12"/>
      <c r="H1908" s="12"/>
      <c r="I1908" s="13">
        <v>0</v>
      </c>
      <c r="J1908" s="13">
        <v>0</v>
      </c>
      <c r="K1908" s="14" t="str">
        <f t="shared" ref="K1908:K1909" si="330">HYPERLINK("http://twitter.com","Twitter Web Client")</f>
        <v>Twitter Web Client</v>
      </c>
      <c r="L1908" s="13">
        <v>69</v>
      </c>
      <c r="M1908" s="13">
        <v>47</v>
      </c>
      <c r="N1908" s="13">
        <v>9</v>
      </c>
      <c r="O1908" s="15"/>
      <c r="P1908" s="6">
        <v>41112.477337962962</v>
      </c>
      <c r="Q1908" s="16" t="s">
        <v>6576</v>
      </c>
      <c r="R1908" s="17" t="s">
        <v>6577</v>
      </c>
      <c r="S1908" s="12"/>
      <c r="T1908" s="12"/>
      <c r="U1908" s="10" t="str">
        <f>HYPERLINK("https://pbs.twimg.com/profile_images/2421395634/jgf9pybfqusm4ps5fisb.jpeg","View")</f>
        <v>View</v>
      </c>
    </row>
    <row r="1909" spans="1:21" ht="40.799999999999997">
      <c r="A1909" s="6">
        <v>43436.981226851851</v>
      </c>
      <c r="B1909" s="7" t="str">
        <f>HYPERLINK("https://twitter.com/goldmemories","@goldmemories")</f>
        <v>@goldmemories</v>
      </c>
      <c r="C1909" s="8" t="s">
        <v>6578</v>
      </c>
      <c r="D1909" s="9" t="s">
        <v>6579</v>
      </c>
      <c r="E1909" s="10" t="str">
        <f>HYPERLINK("https://twitter.com/goldmemories/status/1069358790544424962","1069358790544424962")</f>
        <v>1069358790544424962</v>
      </c>
      <c r="F1909" s="12"/>
      <c r="G1909" s="12"/>
      <c r="H1909" s="12"/>
      <c r="I1909" s="13">
        <v>0</v>
      </c>
      <c r="J1909" s="13">
        <v>2</v>
      </c>
      <c r="K1909" s="14" t="str">
        <f t="shared" si="330"/>
        <v>Twitter Web Client</v>
      </c>
      <c r="L1909" s="13">
        <v>1006</v>
      </c>
      <c r="M1909" s="13">
        <v>596</v>
      </c>
      <c r="N1909" s="13">
        <v>40</v>
      </c>
      <c r="O1909" s="15"/>
      <c r="P1909" s="6">
        <v>40655.728900462964</v>
      </c>
      <c r="Q1909" s="16" t="s">
        <v>6580</v>
      </c>
      <c r="R1909" s="17" t="s">
        <v>6581</v>
      </c>
      <c r="S1909" s="12"/>
      <c r="T1909" s="12"/>
      <c r="U1909" s="10" t="str">
        <f>HYPERLINK("https://pbs.twimg.com/profile_images/1062842341508177921/Ol85Hj9P.jpg","View")</f>
        <v>View</v>
      </c>
    </row>
    <row r="1910" spans="1:21" ht="40.799999999999997">
      <c r="A1910" s="6">
        <v>43436.981215277774</v>
      </c>
      <c r="B1910" s="7" t="str">
        <f>HYPERLINK("https://twitter.com/Antonioandet","@Antonioandet")</f>
        <v>@Antonioandet</v>
      </c>
      <c r="C1910" s="8" t="s">
        <v>6582</v>
      </c>
      <c r="D1910" s="9" t="s">
        <v>6583</v>
      </c>
      <c r="E1910" s="10" t="str">
        <f>HYPERLINK("https://twitter.com/Antonioandet/status/1069358786996043776","1069358786996043776")</f>
        <v>1069358786996043776</v>
      </c>
      <c r="F1910" s="12"/>
      <c r="G1910" s="12"/>
      <c r="H1910" s="12"/>
      <c r="I1910" s="13">
        <v>1</v>
      </c>
      <c r="J1910" s="13">
        <v>2</v>
      </c>
      <c r="K1910" s="14" t="str">
        <f t="shared" ref="K1910:K1912" si="331">HYPERLINK("http://twitter.com/download/android","Twitter for Android")</f>
        <v>Twitter for Android</v>
      </c>
      <c r="L1910" s="13">
        <v>1724</v>
      </c>
      <c r="M1910" s="13">
        <v>255</v>
      </c>
      <c r="N1910" s="13">
        <v>75</v>
      </c>
      <c r="O1910" s="15"/>
      <c r="P1910" s="6">
        <v>40761.536458333336</v>
      </c>
      <c r="Q1910" s="16" t="s">
        <v>48</v>
      </c>
      <c r="R1910" s="17" t="s">
        <v>6584</v>
      </c>
      <c r="S1910" s="11" t="s">
        <v>6585</v>
      </c>
      <c r="T1910" s="12"/>
      <c r="U1910" s="10" t="str">
        <f>HYPERLINK("https://pbs.twimg.com/profile_images/1070956489974734848/KL9zFh9-.jpg","View")</f>
        <v>View</v>
      </c>
    </row>
    <row r="1911" spans="1:21" ht="20.399999999999999">
      <c r="A1911" s="6">
        <v>43436.981192129635</v>
      </c>
      <c r="B1911" s="7" t="str">
        <f>HYPERLINK("https://twitter.com/nxlia20","@nxlia20")</f>
        <v>@nxlia20</v>
      </c>
      <c r="C1911" s="8" t="s">
        <v>6586</v>
      </c>
      <c r="D1911" s="9" t="s">
        <v>6587</v>
      </c>
      <c r="E1911" s="10" t="str">
        <f>HYPERLINK("https://twitter.com/nxlia20/status/1069358779794419713","1069358779794419713")</f>
        <v>1069358779794419713</v>
      </c>
      <c r="F1911" s="12"/>
      <c r="G1911" s="12"/>
      <c r="H1911" s="12"/>
      <c r="I1911" s="13">
        <v>1</v>
      </c>
      <c r="J1911" s="13">
        <v>3</v>
      </c>
      <c r="K1911" s="14" t="str">
        <f t="shared" si="331"/>
        <v>Twitter for Android</v>
      </c>
      <c r="L1911" s="13">
        <v>1224</v>
      </c>
      <c r="M1911" s="13">
        <v>245</v>
      </c>
      <c r="N1911" s="13">
        <v>14</v>
      </c>
      <c r="O1911" s="15"/>
      <c r="P1911" s="6">
        <v>41450.479409722218</v>
      </c>
      <c r="Q1911" s="16" t="s">
        <v>6588</v>
      </c>
      <c r="R1911" s="17" t="s">
        <v>6589</v>
      </c>
      <c r="S1911" s="11" t="s">
        <v>6590</v>
      </c>
      <c r="T1911" s="12"/>
      <c r="U1911" s="10" t="str">
        <f>HYPERLINK("https://pbs.twimg.com/profile_images/1068832554453790720/fC1d0zwE.jpg","View")</f>
        <v>View</v>
      </c>
    </row>
    <row r="1912" spans="1:21" ht="40.799999999999997">
      <c r="A1912" s="6">
        <v>43436.981157407412</v>
      </c>
      <c r="B1912" s="7" t="str">
        <f>HYPERLINK("https://twitter.com/jaimepruja","@jaimepruja")</f>
        <v>@jaimepruja</v>
      </c>
      <c r="C1912" s="8" t="s">
        <v>6591</v>
      </c>
      <c r="D1912" s="9" t="s">
        <v>6592</v>
      </c>
      <c r="E1912" s="10" t="str">
        <f>HYPERLINK("https://twitter.com/jaimepruja/status/1069358767089885184","1069358767089885184")</f>
        <v>1069358767089885184</v>
      </c>
      <c r="F1912" s="12"/>
      <c r="G1912" s="12"/>
      <c r="H1912" s="12"/>
      <c r="I1912" s="13">
        <v>0</v>
      </c>
      <c r="J1912" s="13">
        <v>0</v>
      </c>
      <c r="K1912" s="14" t="str">
        <f t="shared" si="331"/>
        <v>Twitter for Android</v>
      </c>
      <c r="L1912" s="13">
        <v>501</v>
      </c>
      <c r="M1912" s="13">
        <v>1650</v>
      </c>
      <c r="N1912" s="13">
        <v>16</v>
      </c>
      <c r="O1912" s="15"/>
      <c r="P1912" s="6">
        <v>40636.495844907404</v>
      </c>
      <c r="Q1912" s="16" t="s">
        <v>30</v>
      </c>
      <c r="R1912" s="17" t="s">
        <v>6593</v>
      </c>
      <c r="S1912" s="11" t="s">
        <v>6594</v>
      </c>
      <c r="T1912" s="12"/>
      <c r="U1912" s="10" t="str">
        <f>HYPERLINK("https://pbs.twimg.com/profile_images/923183546071732224/D0LiKU0z.jpg","View")</f>
        <v>View</v>
      </c>
    </row>
    <row r="1913" spans="1:21" ht="30.6">
      <c r="A1913" s="6">
        <v>43436.981157407412</v>
      </c>
      <c r="B1913" s="7" t="str">
        <f>HYPERLINK("https://twitter.com/exegetaciclotim","@exegetaciclotim")</f>
        <v>@exegetaciclotim</v>
      </c>
      <c r="C1913" s="8" t="s">
        <v>6595</v>
      </c>
      <c r="D1913" s="9" t="s">
        <v>6596</v>
      </c>
      <c r="E1913" s="10" t="str">
        <f>HYPERLINK("https://twitter.com/exegetaciclotim/status/1069358766221680640","1069358766221680640")</f>
        <v>1069358766221680640</v>
      </c>
      <c r="F1913" s="12"/>
      <c r="G1913" s="11" t="s">
        <v>6597</v>
      </c>
      <c r="H1913" s="12"/>
      <c r="I1913" s="13">
        <v>0</v>
      </c>
      <c r="J1913" s="13">
        <v>0</v>
      </c>
      <c r="K1913" s="14" t="str">
        <f>HYPERLINK("http://twitter.com","Twitter Web Client")</f>
        <v>Twitter Web Client</v>
      </c>
      <c r="L1913" s="13">
        <v>275</v>
      </c>
      <c r="M1913" s="13">
        <v>1119</v>
      </c>
      <c r="N1913" s="13">
        <v>3</v>
      </c>
      <c r="O1913" s="15"/>
      <c r="P1913" s="6">
        <v>41830.633530092593</v>
      </c>
      <c r="Q1913" s="16" t="s">
        <v>6598</v>
      </c>
      <c r="R1913" s="17" t="s">
        <v>6599</v>
      </c>
      <c r="S1913" s="11" t="s">
        <v>6600</v>
      </c>
      <c r="T1913" s="12"/>
      <c r="U1913" s="10" t="str">
        <f>HYPERLINK("https://pbs.twimg.com/profile_images/998131803335544832/LYjZXw6H.jpg","View")</f>
        <v>View</v>
      </c>
    </row>
    <row r="1914" spans="1:21" ht="40.799999999999997">
      <c r="A1914" s="6">
        <v>43436.981134259258</v>
      </c>
      <c r="B1914" s="7" t="str">
        <f>HYPERLINK("https://twitter.com/marti_saballs","@marti_saballs")</f>
        <v>@marti_saballs</v>
      </c>
      <c r="C1914" s="8" t="s">
        <v>6601</v>
      </c>
      <c r="D1914" s="9" t="s">
        <v>6602</v>
      </c>
      <c r="E1914" s="10" t="str">
        <f>HYPERLINK("https://twitter.com/marti_saballs/status/1069358759410106370","1069358759410106370")</f>
        <v>1069358759410106370</v>
      </c>
      <c r="F1914" s="12"/>
      <c r="G1914" s="12"/>
      <c r="H1914" s="12"/>
      <c r="I1914" s="13">
        <v>2</v>
      </c>
      <c r="J1914" s="13">
        <v>3</v>
      </c>
      <c r="K1914" s="14" t="str">
        <f>HYPERLINK("http://twitter.com/download/android","Twitter for Android")</f>
        <v>Twitter for Android</v>
      </c>
      <c r="L1914" s="13">
        <v>10820</v>
      </c>
      <c r="M1914" s="13">
        <v>467</v>
      </c>
      <c r="N1914" s="13">
        <v>425</v>
      </c>
      <c r="O1914" s="15"/>
      <c r="P1914" s="6">
        <v>40722.499583333338</v>
      </c>
      <c r="Q1914" s="12"/>
      <c r="R1914" s="17" t="s">
        <v>6603</v>
      </c>
      <c r="S1914" s="12"/>
      <c r="T1914" s="12"/>
      <c r="U1914" s="10" t="str">
        <f>HYPERLINK("https://pbs.twimg.com/profile_images/1016714401745965057/O4opQSP4.jpg","View")</f>
        <v>View</v>
      </c>
    </row>
    <row r="1915" spans="1:21" ht="13.2">
      <c r="A1915" s="6">
        <v>43436.981134259258</v>
      </c>
      <c r="B1915" s="7" t="str">
        <f>HYPERLINK("https://twitter.com/drwat_son","@drwat_son")</f>
        <v>@drwat_son</v>
      </c>
      <c r="C1915" s="8" t="s">
        <v>6604</v>
      </c>
      <c r="D1915" s="9" t="s">
        <v>6605</v>
      </c>
      <c r="E1915" s="10" t="str">
        <f>HYPERLINK("https://twitter.com/drwat_son/status/1069358758130794500","1069358758130794500")</f>
        <v>1069358758130794500</v>
      </c>
      <c r="F1915" s="12"/>
      <c r="G1915" s="12"/>
      <c r="H1915" s="12"/>
      <c r="I1915" s="13">
        <v>0</v>
      </c>
      <c r="J1915" s="13">
        <v>0</v>
      </c>
      <c r="K1915" s="14" t="str">
        <f>HYPERLINK("https://mobile.twitter.com","Twitter Lite")</f>
        <v>Twitter Lite</v>
      </c>
      <c r="L1915" s="13">
        <v>45</v>
      </c>
      <c r="M1915" s="13">
        <v>139</v>
      </c>
      <c r="N1915" s="13">
        <v>1</v>
      </c>
      <c r="O1915" s="15"/>
      <c r="P1915" s="6">
        <v>41008.495833333334</v>
      </c>
      <c r="Q1915" s="12"/>
      <c r="R1915" s="17" t="s">
        <v>6606</v>
      </c>
      <c r="S1915" s="11" t="s">
        <v>6607</v>
      </c>
      <c r="T1915" s="12"/>
      <c r="U1915" s="10" t="str">
        <f>HYPERLINK("https://pbs.twimg.com/profile_images/734393731793686532/Mw3Lgfsl.jpg","View")</f>
        <v>View</v>
      </c>
    </row>
    <row r="1916" spans="1:21" ht="30.6">
      <c r="A1916" s="6">
        <v>43436.981076388889</v>
      </c>
      <c r="B1916" s="7" t="str">
        <f>HYPERLINK("https://twitter.com/medirincon","@medirincon")</f>
        <v>@medirincon</v>
      </c>
      <c r="C1916" s="8" t="s">
        <v>4410</v>
      </c>
      <c r="D1916" s="9" t="s">
        <v>6608</v>
      </c>
      <c r="E1916" s="10" t="str">
        <f>HYPERLINK("https://twitter.com/medirincon/status/1069358738082017281","1069358738082017281")</f>
        <v>1069358738082017281</v>
      </c>
      <c r="F1916" s="12"/>
      <c r="G1916" s="12"/>
      <c r="H1916" s="12"/>
      <c r="I1916" s="13">
        <v>0</v>
      </c>
      <c r="J1916" s="13">
        <v>0</v>
      </c>
      <c r="K1916" s="14" t="str">
        <f t="shared" ref="K1916:K1917" si="332">HYPERLINK("http://twitter.com/download/android","Twitter for Android")</f>
        <v>Twitter for Android</v>
      </c>
      <c r="L1916" s="13">
        <v>1012</v>
      </c>
      <c r="M1916" s="13">
        <v>701</v>
      </c>
      <c r="N1916" s="13">
        <v>13</v>
      </c>
      <c r="O1916" s="15"/>
      <c r="P1916" s="6">
        <v>40609.509016203701</v>
      </c>
      <c r="Q1916" s="16" t="s">
        <v>6609</v>
      </c>
      <c r="R1916" s="17" t="s">
        <v>6610</v>
      </c>
      <c r="S1916" s="11" t="s">
        <v>6611</v>
      </c>
      <c r="T1916" s="12"/>
      <c r="U1916" s="10" t="str">
        <f>HYPERLINK("https://pbs.twimg.com/profile_images/1005860875109130242/b2obT2C1.jpg","View")</f>
        <v>View</v>
      </c>
    </row>
    <row r="1917" spans="1:21" ht="20.399999999999999">
      <c r="A1917" s="6">
        <v>43436.98101851852</v>
      </c>
      <c r="B1917" s="7" t="str">
        <f>HYPERLINK("https://twitter.com/javiortega0","@javiortega0")</f>
        <v>@javiortega0</v>
      </c>
      <c r="C1917" s="8" t="s">
        <v>6612</v>
      </c>
      <c r="D1917" s="9" t="s">
        <v>6613</v>
      </c>
      <c r="E1917" s="10" t="str">
        <f>HYPERLINK("https://twitter.com/javiortega0/status/1069358717974577159","1069358717974577159")</f>
        <v>1069358717974577159</v>
      </c>
      <c r="F1917" s="12"/>
      <c r="G1917" s="12"/>
      <c r="H1917" s="12"/>
      <c r="I1917" s="13">
        <v>0</v>
      </c>
      <c r="J1917" s="13">
        <v>1</v>
      </c>
      <c r="K1917" s="14" t="str">
        <f t="shared" si="332"/>
        <v>Twitter for Android</v>
      </c>
      <c r="L1917" s="13">
        <v>124</v>
      </c>
      <c r="M1917" s="13">
        <v>163</v>
      </c>
      <c r="N1917" s="13">
        <v>0</v>
      </c>
      <c r="O1917" s="15"/>
      <c r="P1917" s="6">
        <v>43326.976226851853</v>
      </c>
      <c r="Q1917" s="12"/>
      <c r="R1917" s="17" t="s">
        <v>6614</v>
      </c>
      <c r="S1917" s="12"/>
      <c r="T1917" s="12"/>
      <c r="U1917" s="10" t="str">
        <f>HYPERLINK("https://pbs.twimg.com/profile_images/1066842791307825154/V4-0m21l.jpg","View")</f>
        <v>View</v>
      </c>
    </row>
    <row r="1918" spans="1:21" ht="40.799999999999997">
      <c r="A1918" s="6">
        <v>43436.981006944443</v>
      </c>
      <c r="B1918" s="7" t="str">
        <f>HYPERLINK("https://twitter.com/FelipePMoya","@FelipePMoya")</f>
        <v>@FelipePMoya</v>
      </c>
      <c r="C1918" s="8" t="s">
        <v>6615</v>
      </c>
      <c r="D1918" s="9" t="s">
        <v>6616</v>
      </c>
      <c r="E1918" s="10" t="str">
        <f>HYPERLINK("https://twitter.com/FelipePMoya/status/1069358713406918661","1069358713406918661")</f>
        <v>1069358713406918661</v>
      </c>
      <c r="F1918" s="12"/>
      <c r="G1918" s="12"/>
      <c r="H1918" s="12"/>
      <c r="I1918" s="13">
        <v>1</v>
      </c>
      <c r="J1918" s="13">
        <v>0</v>
      </c>
      <c r="K1918" s="14" t="str">
        <f>HYPERLINK("http://twitter.com/download/iphone","Twitter for iPhone")</f>
        <v>Twitter for iPhone</v>
      </c>
      <c r="L1918" s="13">
        <v>402</v>
      </c>
      <c r="M1918" s="13">
        <v>376</v>
      </c>
      <c r="N1918" s="13">
        <v>6</v>
      </c>
      <c r="O1918" s="15"/>
      <c r="P1918" s="6">
        <v>40584.713900462964</v>
      </c>
      <c r="Q1918" s="16" t="s">
        <v>6617</v>
      </c>
      <c r="R1918" s="20"/>
      <c r="S1918" s="12"/>
      <c r="T1918" s="12"/>
      <c r="U1918" s="10" t="str">
        <f>HYPERLINK("https://pbs.twimg.com/profile_images/529802110876270592/GtXhvmOk.jpeg","View")</f>
        <v>View</v>
      </c>
    </row>
    <row r="1919" spans="1:21" ht="40.799999999999997">
      <c r="A1919" s="6">
        <v>43436.981006944443</v>
      </c>
      <c r="B1919" s="7" t="str">
        <f>HYPERLINK("https://twitter.com/SoyToniL","@SoyToniL")</f>
        <v>@SoyToniL</v>
      </c>
      <c r="C1919" s="8" t="s">
        <v>6618</v>
      </c>
      <c r="D1919" s="9" t="s">
        <v>6619</v>
      </c>
      <c r="E1919" s="10" t="str">
        <f>HYPERLINK("https://twitter.com/SoyToniL/status/1069358711334932481","1069358711334932481")</f>
        <v>1069358711334932481</v>
      </c>
      <c r="F1919" s="11" t="s">
        <v>6620</v>
      </c>
      <c r="G1919" s="12"/>
      <c r="H1919" s="12"/>
      <c r="I1919" s="13">
        <v>0</v>
      </c>
      <c r="J1919" s="13">
        <v>0</v>
      </c>
      <c r="K1919" s="14" t="str">
        <f t="shared" ref="K1919:K1921" si="333">HYPERLINK("http://twitter.com/download/android","Twitter for Android")</f>
        <v>Twitter for Android</v>
      </c>
      <c r="L1919" s="13">
        <v>625</v>
      </c>
      <c r="M1919" s="13">
        <v>1342</v>
      </c>
      <c r="N1919" s="13">
        <v>12</v>
      </c>
      <c r="O1919" s="15"/>
      <c r="P1919" s="6">
        <v>40879.969201388885</v>
      </c>
      <c r="Q1919" s="16" t="s">
        <v>1130</v>
      </c>
      <c r="R1919" s="17" t="s">
        <v>6621</v>
      </c>
      <c r="S1919" s="12"/>
      <c r="T1919" s="12"/>
      <c r="U1919" s="10" t="str">
        <f>HYPERLINK("https://pbs.twimg.com/profile_images/986372503089098753/SHvDS3eg.jpg","View")</f>
        <v>View</v>
      </c>
    </row>
    <row r="1920" spans="1:21" ht="40.799999999999997">
      <c r="A1920" s="6">
        <v>43436.980983796297</v>
      </c>
      <c r="B1920" s="7" t="str">
        <f>HYPERLINK("https://twitter.com/GquirogaGonzalo","@GquirogaGonzalo")</f>
        <v>@GquirogaGonzalo</v>
      </c>
      <c r="C1920" s="8" t="s">
        <v>3162</v>
      </c>
      <c r="D1920" s="9" t="s">
        <v>6622</v>
      </c>
      <c r="E1920" s="10" t="str">
        <f>HYPERLINK("https://twitter.com/GquirogaGonzalo/status/1069358702451400707","1069358702451400707")</f>
        <v>1069358702451400707</v>
      </c>
      <c r="F1920" s="12"/>
      <c r="G1920" s="11" t="s">
        <v>6623</v>
      </c>
      <c r="H1920" s="12"/>
      <c r="I1920" s="13">
        <v>2</v>
      </c>
      <c r="J1920" s="13">
        <v>6</v>
      </c>
      <c r="K1920" s="14" t="str">
        <f t="shared" si="333"/>
        <v>Twitter for Android</v>
      </c>
      <c r="L1920" s="13">
        <v>2865</v>
      </c>
      <c r="M1920" s="13">
        <v>5001</v>
      </c>
      <c r="N1920" s="13">
        <v>31</v>
      </c>
      <c r="O1920" s="15"/>
      <c r="P1920" s="6">
        <v>41614.554907407408</v>
      </c>
      <c r="Q1920" s="12"/>
      <c r="R1920" s="17" t="s">
        <v>3585</v>
      </c>
      <c r="S1920" s="12"/>
      <c r="T1920" s="12"/>
      <c r="U1920" s="10" t="str">
        <f>HYPERLINK("https://pbs.twimg.com/profile_images/928029513669332992/h42Zg1ls.jpg","View")</f>
        <v>View</v>
      </c>
    </row>
    <row r="1921" spans="1:21" ht="30.6">
      <c r="A1921" s="6">
        <v>43436.980972222227</v>
      </c>
      <c r="B1921" s="7" t="str">
        <f>HYPERLINK("https://twitter.com/jmpascu","@jmpascu")</f>
        <v>@jmpascu</v>
      </c>
      <c r="C1921" s="8" t="s">
        <v>6624</v>
      </c>
      <c r="D1921" s="9" t="s">
        <v>6625</v>
      </c>
      <c r="E1921" s="10" t="str">
        <f>HYPERLINK("https://twitter.com/jmpascu/status/1069358701876846593","1069358701876846593")</f>
        <v>1069358701876846593</v>
      </c>
      <c r="F1921" s="12"/>
      <c r="G1921" s="12"/>
      <c r="H1921" s="12"/>
      <c r="I1921" s="13">
        <v>0</v>
      </c>
      <c r="J1921" s="13">
        <v>0</v>
      </c>
      <c r="K1921" s="14" t="str">
        <f t="shared" si="333"/>
        <v>Twitter for Android</v>
      </c>
      <c r="L1921" s="13">
        <v>31</v>
      </c>
      <c r="M1921" s="13">
        <v>216</v>
      </c>
      <c r="N1921" s="13">
        <v>1</v>
      </c>
      <c r="O1921" s="15"/>
      <c r="P1921" s="6">
        <v>40515.906226851854</v>
      </c>
      <c r="Q1921" s="16" t="s">
        <v>6626</v>
      </c>
      <c r="R1921" s="17" t="s">
        <v>6627</v>
      </c>
      <c r="S1921" s="12"/>
      <c r="T1921" s="12"/>
      <c r="U1921" s="10" t="str">
        <f>HYPERLINK("https://pbs.twimg.com/profile_images/586480331382882304/Su4cPvq6.jpg","View")</f>
        <v>View</v>
      </c>
    </row>
    <row r="1922" spans="1:21" ht="40.799999999999997">
      <c r="A1922" s="6">
        <v>43436.980925925927</v>
      </c>
      <c r="B1922" s="7" t="str">
        <f>HYPERLINK("https://twitter.com/joana_rei","@joana_rei")</f>
        <v>@joana_rei</v>
      </c>
      <c r="C1922" s="8" t="s">
        <v>6628</v>
      </c>
      <c r="D1922" s="9" t="s">
        <v>6629</v>
      </c>
      <c r="E1922" s="10" t="str">
        <f>HYPERLINK("https://twitter.com/joana_rei/status/1069358684319428608","1069358684319428608")</f>
        <v>1069358684319428608</v>
      </c>
      <c r="F1922" s="12"/>
      <c r="G1922" s="12"/>
      <c r="H1922" s="12"/>
      <c r="I1922" s="13">
        <v>0</v>
      </c>
      <c r="J1922" s="13">
        <v>3</v>
      </c>
      <c r="K1922" s="14" t="str">
        <f>HYPERLINK("http://twitter.com/download/iphone","Twitter for iPhone")</f>
        <v>Twitter for iPhone</v>
      </c>
      <c r="L1922" s="13">
        <v>667</v>
      </c>
      <c r="M1922" s="13">
        <v>510</v>
      </c>
      <c r="N1922" s="13">
        <v>25</v>
      </c>
      <c r="O1922" s="15"/>
      <c r="P1922" s="6">
        <v>40905.548530092594</v>
      </c>
      <c r="Q1922" s="16" t="s">
        <v>191</v>
      </c>
      <c r="R1922" s="17" t="s">
        <v>6630</v>
      </c>
      <c r="S1922" s="11" t="s">
        <v>6631</v>
      </c>
      <c r="T1922" s="12"/>
      <c r="U1922" s="10" t="str">
        <f>HYPERLINK("https://pbs.twimg.com/profile_images/378800000011752513/3daea85c89968568556b1e8c5859143e.jpeg","View")</f>
        <v>View</v>
      </c>
    </row>
    <row r="1923" spans="1:21" ht="30.6">
      <c r="A1923" s="6">
        <v>43436.980891203704</v>
      </c>
      <c r="B1923" s="7" t="str">
        <f>HYPERLINK("https://twitter.com/Hannibal_Modern","@Hannibal_Modern")</f>
        <v>@Hannibal_Modern</v>
      </c>
      <c r="C1923" s="8" t="s">
        <v>6632</v>
      </c>
      <c r="D1923" s="9" t="s">
        <v>6633</v>
      </c>
      <c r="E1923" s="10" t="str">
        <f>HYPERLINK("https://twitter.com/Hannibal_Modern/status/1069358671593988098","1069358671593988098")</f>
        <v>1069358671593988098</v>
      </c>
      <c r="F1923" s="12"/>
      <c r="G1923" s="12"/>
      <c r="H1923" s="12"/>
      <c r="I1923" s="13">
        <v>0</v>
      </c>
      <c r="J1923" s="13">
        <v>1</v>
      </c>
      <c r="K1923" s="14" t="str">
        <f>HYPERLINK("https://mobile.twitter.com","Twitter Lite")</f>
        <v>Twitter Lite</v>
      </c>
      <c r="L1923" s="13">
        <v>394</v>
      </c>
      <c r="M1923" s="13">
        <v>485</v>
      </c>
      <c r="N1923" s="13">
        <v>8</v>
      </c>
      <c r="O1923" s="15"/>
      <c r="P1923" s="6">
        <v>41377.561539351853</v>
      </c>
      <c r="Q1923" s="16" t="s">
        <v>6634</v>
      </c>
      <c r="R1923" s="17" t="s">
        <v>6635</v>
      </c>
      <c r="S1923" s="12"/>
      <c r="T1923" s="12"/>
      <c r="U1923" s="10" t="str">
        <f>HYPERLINK("https://pbs.twimg.com/profile_images/1038597816602558465/FsS0g1oH.jpg","View")</f>
        <v>View</v>
      </c>
    </row>
    <row r="1924" spans="1:21" ht="40.799999999999997">
      <c r="A1924" s="6">
        <v>43436.980856481481</v>
      </c>
      <c r="B1924" s="7" t="str">
        <f>HYPERLINK("https://twitter.com/juditvegavet","@juditvegavet")</f>
        <v>@juditvegavet</v>
      </c>
      <c r="C1924" s="8" t="s">
        <v>6636</v>
      </c>
      <c r="D1924" s="9" t="s">
        <v>6637</v>
      </c>
      <c r="E1924" s="10" t="str">
        <f>HYPERLINK("https://twitter.com/juditvegavet/status/1069358659132628992","1069358659132628992")</f>
        <v>1069358659132628992</v>
      </c>
      <c r="F1924" s="12"/>
      <c r="G1924" s="12"/>
      <c r="H1924" s="12"/>
      <c r="I1924" s="13">
        <v>4</v>
      </c>
      <c r="J1924" s="13">
        <v>20</v>
      </c>
      <c r="K1924" s="14" t="str">
        <f>HYPERLINK("http://twitter.com/download/android","Twitter for Android")</f>
        <v>Twitter for Android</v>
      </c>
      <c r="L1924" s="13">
        <v>2177</v>
      </c>
      <c r="M1924" s="13">
        <v>1026</v>
      </c>
      <c r="N1924" s="13">
        <v>54</v>
      </c>
      <c r="O1924" s="15"/>
      <c r="P1924" s="6">
        <v>40834.647488425922</v>
      </c>
      <c r="Q1924" s="12"/>
      <c r="R1924" s="17" t="s">
        <v>6638</v>
      </c>
      <c r="S1924" s="12"/>
      <c r="T1924" s="12"/>
      <c r="U1924" s="10" t="str">
        <f>HYPERLINK("https://pbs.twimg.com/profile_images/594468452347334656/FUmgCe0Q.jpg","View")</f>
        <v>View</v>
      </c>
    </row>
    <row r="1925" spans="1:21" ht="40.799999999999997">
      <c r="A1925" s="6">
        <v>43436.980810185181</v>
      </c>
      <c r="B1925" s="7" t="str">
        <f>HYPERLINK("https://twitter.com/JuanCAngulo","@JuanCAngulo")</f>
        <v>@JuanCAngulo</v>
      </c>
      <c r="C1925" s="8" t="s">
        <v>6639</v>
      </c>
      <c r="D1925" s="9" t="s">
        <v>6640</v>
      </c>
      <c r="E1925" s="10" t="str">
        <f>HYPERLINK("https://twitter.com/JuanCAngulo/status/1069358642623860738","1069358642623860738")</f>
        <v>1069358642623860738</v>
      </c>
      <c r="F1925" s="12"/>
      <c r="G1925" s="12"/>
      <c r="H1925" s="12"/>
      <c r="I1925" s="13">
        <v>4</v>
      </c>
      <c r="J1925" s="13">
        <v>3</v>
      </c>
      <c r="K1925" s="14" t="str">
        <f>HYPERLINK("http://twitter.com/download/iphone","Twitter for iPhone")</f>
        <v>Twitter for iPhone</v>
      </c>
      <c r="L1925" s="13">
        <v>697</v>
      </c>
      <c r="M1925" s="13">
        <v>238</v>
      </c>
      <c r="N1925" s="13">
        <v>10</v>
      </c>
      <c r="O1925" s="15"/>
      <c r="P1925" s="6">
        <v>40610.687847222223</v>
      </c>
      <c r="Q1925" s="16" t="s">
        <v>945</v>
      </c>
      <c r="R1925" s="17" t="s">
        <v>6641</v>
      </c>
      <c r="S1925" s="12"/>
      <c r="T1925" s="12"/>
      <c r="U1925" s="10" t="str">
        <f>HYPERLINK("https://pbs.twimg.com/profile_images/681066841746337792/QlOJHxpD.jpg","View")</f>
        <v>View</v>
      </c>
    </row>
    <row r="1926" spans="1:21" ht="30.6">
      <c r="A1926" s="6">
        <v>43436.980798611112</v>
      </c>
      <c r="B1926" s="7" t="str">
        <f>HYPERLINK("https://twitter.com/boscovne","@boscovne")</f>
        <v>@boscovne</v>
      </c>
      <c r="C1926" s="8" t="s">
        <v>6642</v>
      </c>
      <c r="D1926" s="9" t="s">
        <v>6643</v>
      </c>
      <c r="E1926" s="10" t="str">
        <f>HYPERLINK("https://twitter.com/boscovne/status/1069358637192290304","1069358637192290304")</f>
        <v>1069358637192290304</v>
      </c>
      <c r="F1926" s="12"/>
      <c r="G1926" s="12"/>
      <c r="H1926" s="12"/>
      <c r="I1926" s="13">
        <v>0</v>
      </c>
      <c r="J1926" s="13">
        <v>1</v>
      </c>
      <c r="K1926" s="14" t="str">
        <f>HYPERLINK("http://twitter.com","Twitter Web Client")</f>
        <v>Twitter Web Client</v>
      </c>
      <c r="L1926" s="13">
        <v>426</v>
      </c>
      <c r="M1926" s="13">
        <v>209</v>
      </c>
      <c r="N1926" s="13">
        <v>8</v>
      </c>
      <c r="O1926" s="15"/>
      <c r="P1926" s="6">
        <v>40535.589942129627</v>
      </c>
      <c r="Q1926" s="16" t="s">
        <v>191</v>
      </c>
      <c r="R1926" s="17" t="s">
        <v>6644</v>
      </c>
      <c r="S1926" s="12"/>
      <c r="T1926" s="12"/>
      <c r="U1926" s="10" t="str">
        <f>HYPERLINK("https://pbs.twimg.com/profile_images/1050373049734877184/k_tYnPM1.jpg","View")</f>
        <v>View</v>
      </c>
    </row>
    <row r="1927" spans="1:21" ht="30.6">
      <c r="A1927" s="6">
        <v>43436.980775462958</v>
      </c>
      <c r="B1927" s="7" t="str">
        <f>HYPERLINK("https://twitter.com/los_replicantes","@los_replicantes")</f>
        <v>@los_replicantes</v>
      </c>
      <c r="C1927" s="8" t="s">
        <v>5527</v>
      </c>
      <c r="D1927" s="9" t="s">
        <v>6645</v>
      </c>
      <c r="E1927" s="10" t="str">
        <f>HYPERLINK("https://twitter.com/los_replicantes/status/1069358629982257152","1069358629982257152")</f>
        <v>1069358629982257152</v>
      </c>
      <c r="F1927" s="11" t="s">
        <v>6646</v>
      </c>
      <c r="G1927" s="11" t="s">
        <v>6647</v>
      </c>
      <c r="H1927" s="12"/>
      <c r="I1927" s="13">
        <v>0</v>
      </c>
      <c r="J1927" s="13">
        <v>0</v>
      </c>
      <c r="K1927" s="14" t="str">
        <f>HYPERLINK("https://about.twitter.com/products/tweetdeck","TweetDeck")</f>
        <v>TweetDeck</v>
      </c>
      <c r="L1927" s="13">
        <v>11882</v>
      </c>
      <c r="M1927" s="13">
        <v>271</v>
      </c>
      <c r="N1927" s="13">
        <v>223</v>
      </c>
      <c r="O1927" s="15"/>
      <c r="P1927" s="6">
        <v>40252.517604166671</v>
      </c>
      <c r="Q1927" s="12"/>
      <c r="R1927" s="17" t="s">
        <v>5531</v>
      </c>
      <c r="S1927" s="11" t="s">
        <v>5532</v>
      </c>
      <c r="T1927" s="12"/>
      <c r="U1927" s="10" t="str">
        <f>HYPERLINK("https://pbs.twimg.com/profile_images/1018872125698998272/CSELtZwH.jpg","View")</f>
        <v>View</v>
      </c>
    </row>
    <row r="1928" spans="1:21" ht="51">
      <c r="A1928" s="6">
        <v>43436.980717592596</v>
      </c>
      <c r="B1928" s="7" t="str">
        <f>HYPERLINK("https://twitter.com/CharritoER","@CharritoER")</f>
        <v>@CharritoER</v>
      </c>
      <c r="C1928" s="8" t="s">
        <v>6648</v>
      </c>
      <c r="D1928" s="9" t="s">
        <v>6649</v>
      </c>
      <c r="E1928" s="10" t="str">
        <f>HYPERLINK("https://twitter.com/CharritoER/status/1069358606942916608","1069358606942916608")</f>
        <v>1069358606942916608</v>
      </c>
      <c r="F1928" s="12"/>
      <c r="G1928" s="12"/>
      <c r="H1928" s="12"/>
      <c r="I1928" s="13">
        <v>0</v>
      </c>
      <c r="J1928" s="13">
        <v>0</v>
      </c>
      <c r="K1928" s="14" t="str">
        <f>HYPERLINK("http://twitter.com/download/android","Twitter for Android")</f>
        <v>Twitter for Android</v>
      </c>
      <c r="L1928" s="13">
        <v>435</v>
      </c>
      <c r="M1928" s="13">
        <v>532</v>
      </c>
      <c r="N1928" s="13">
        <v>17</v>
      </c>
      <c r="O1928" s="15"/>
      <c r="P1928" s="6">
        <v>40868.034421296295</v>
      </c>
      <c r="Q1928" s="16" t="s">
        <v>6650</v>
      </c>
      <c r="R1928" s="17" t="s">
        <v>6651</v>
      </c>
      <c r="S1928" s="11" t="s">
        <v>6652</v>
      </c>
      <c r="T1928" s="12"/>
      <c r="U1928" s="10" t="str">
        <f>HYPERLINK("https://pbs.twimg.com/profile_images/1650696413/doc_brown.jpg","View")</f>
        <v>View</v>
      </c>
    </row>
    <row r="1929" spans="1:21" ht="30.6">
      <c r="A1929" s="6">
        <v>43436.980717592596</v>
      </c>
      <c r="B1929" s="7" t="str">
        <f>HYPERLINK("https://twitter.com/marode","@marode")</f>
        <v>@marode</v>
      </c>
      <c r="C1929" s="8" t="s">
        <v>6653</v>
      </c>
      <c r="D1929" s="9" t="s">
        <v>6654</v>
      </c>
      <c r="E1929" s="10" t="str">
        <f>HYPERLINK("https://twitter.com/marode/status/1069358606586445829","1069358606586445829")</f>
        <v>1069358606586445829</v>
      </c>
      <c r="F1929" s="12"/>
      <c r="G1929" s="12"/>
      <c r="H1929" s="12"/>
      <c r="I1929" s="13">
        <v>0</v>
      </c>
      <c r="J1929" s="13">
        <v>2</v>
      </c>
      <c r="K1929" s="14" t="str">
        <f>HYPERLINK("http://twitter.com","Twitter Web Client")</f>
        <v>Twitter Web Client</v>
      </c>
      <c r="L1929" s="13">
        <v>1939</v>
      </c>
      <c r="M1929" s="13">
        <v>1261</v>
      </c>
      <c r="N1929" s="13">
        <v>50</v>
      </c>
      <c r="O1929" s="15"/>
      <c r="P1929" s="6">
        <v>40697.809745370367</v>
      </c>
      <c r="Q1929" s="12"/>
      <c r="R1929" s="17" t="s">
        <v>6655</v>
      </c>
      <c r="S1929" s="12"/>
      <c r="T1929" s="12"/>
      <c r="U1929" s="10" t="str">
        <f>HYPERLINK("https://pbs.twimg.com/profile_images/1023703128942759936/h1vAv_ao.jpg","View")</f>
        <v>View</v>
      </c>
    </row>
    <row r="1930" spans="1:21" ht="40.799999999999997">
      <c r="A1930" s="6">
        <v>43436.980706018519</v>
      </c>
      <c r="B1930" s="7" t="str">
        <f>HYPERLINK("https://twitter.com/AldoGCaeiro","@AldoGCaeiro")</f>
        <v>@AldoGCaeiro</v>
      </c>
      <c r="C1930" s="8" t="s">
        <v>1235</v>
      </c>
      <c r="D1930" s="9" t="s">
        <v>6656</v>
      </c>
      <c r="E1930" s="10" t="str">
        <f>HYPERLINK("https://twitter.com/AldoGCaeiro/status/1069358605089103873","1069358605089103873")</f>
        <v>1069358605089103873</v>
      </c>
      <c r="F1930" s="12"/>
      <c r="G1930" s="12"/>
      <c r="H1930" s="12"/>
      <c r="I1930" s="13">
        <v>0</v>
      </c>
      <c r="J1930" s="13">
        <v>2</v>
      </c>
      <c r="K1930" s="14" t="str">
        <f>HYPERLINK("http://twitter.com/download/iphone","Twitter for iPhone")</f>
        <v>Twitter for iPhone</v>
      </c>
      <c r="L1930" s="13">
        <v>693</v>
      </c>
      <c r="M1930" s="13">
        <v>1596</v>
      </c>
      <c r="N1930" s="13">
        <v>17</v>
      </c>
      <c r="O1930" s="15"/>
      <c r="P1930" s="6">
        <v>40203.65824074074</v>
      </c>
      <c r="Q1930" s="16" t="s">
        <v>1239</v>
      </c>
      <c r="R1930" s="17" t="s">
        <v>1240</v>
      </c>
      <c r="S1930" s="12"/>
      <c r="T1930" s="12"/>
      <c r="U1930" s="10" t="str">
        <f>HYPERLINK("https://pbs.twimg.com/profile_images/495174241218605056/BGfhiv53.jpeg","View")</f>
        <v>View</v>
      </c>
    </row>
    <row r="1931" spans="1:21" ht="13.2">
      <c r="A1931" s="6">
        <v>43436.980694444443</v>
      </c>
      <c r="B1931" s="7" t="str">
        <f>HYPERLINK("https://twitter.com/Reflectora","@Reflectora")</f>
        <v>@Reflectora</v>
      </c>
      <c r="C1931" s="8" t="s">
        <v>6657</v>
      </c>
      <c r="D1931" s="9" t="s">
        <v>6658</v>
      </c>
      <c r="E1931" s="10" t="str">
        <f>HYPERLINK("https://twitter.com/Reflectora/status/1069358597564522497","1069358597564522497")</f>
        <v>1069358597564522497</v>
      </c>
      <c r="F1931" s="12"/>
      <c r="G1931" s="12"/>
      <c r="H1931" s="12"/>
      <c r="I1931" s="13">
        <v>0</v>
      </c>
      <c r="J1931" s="13">
        <v>0</v>
      </c>
      <c r="K1931" s="14" t="str">
        <f>HYPERLINK("http://twitter.com","Twitter Web Client")</f>
        <v>Twitter Web Client</v>
      </c>
      <c r="L1931" s="13">
        <v>230</v>
      </c>
      <c r="M1931" s="13">
        <v>559</v>
      </c>
      <c r="N1931" s="13">
        <v>2</v>
      </c>
      <c r="O1931" s="15"/>
      <c r="P1931" s="6">
        <v>40632.621192129627</v>
      </c>
      <c r="Q1931" s="16" t="s">
        <v>4243</v>
      </c>
      <c r="R1931" s="17" t="s">
        <v>6659</v>
      </c>
      <c r="S1931" s="11" t="s">
        <v>6660</v>
      </c>
      <c r="T1931" s="12"/>
      <c r="U1931" s="10" t="str">
        <f>HYPERLINK("https://pbs.twimg.com/profile_images/841990289556443137/VuPwmer9.jpg","View")</f>
        <v>View</v>
      </c>
    </row>
    <row r="1932" spans="1:21" ht="20.399999999999999">
      <c r="A1932" s="6">
        <v>43436.980636574073</v>
      </c>
      <c r="B1932" s="7" t="str">
        <f>HYPERLINK("https://twitter.com/sobadisimo","@sobadisimo")</f>
        <v>@sobadisimo</v>
      </c>
      <c r="C1932" s="8" t="s">
        <v>6661</v>
      </c>
      <c r="D1932" s="9" t="s">
        <v>6662</v>
      </c>
      <c r="E1932" s="10" t="str">
        <f>HYPERLINK("https://twitter.com/sobadisimo/status/1069358580468514816","1069358580468514816")</f>
        <v>1069358580468514816</v>
      </c>
      <c r="F1932" s="12"/>
      <c r="G1932" s="12"/>
      <c r="H1932" s="12"/>
      <c r="I1932" s="13">
        <v>0</v>
      </c>
      <c r="J1932" s="13">
        <v>1</v>
      </c>
      <c r="K1932" s="14" t="str">
        <f>HYPERLINK("http://twitter.com/download/iphone","Twitter for iPhone")</f>
        <v>Twitter for iPhone</v>
      </c>
      <c r="L1932" s="13">
        <v>51</v>
      </c>
      <c r="M1932" s="13">
        <v>73</v>
      </c>
      <c r="N1932" s="13">
        <v>0</v>
      </c>
      <c r="O1932" s="15"/>
      <c r="P1932" s="6">
        <v>42686.525185185186</v>
      </c>
      <c r="Q1932" s="12"/>
      <c r="R1932" s="17" t="s">
        <v>6663</v>
      </c>
      <c r="S1932" s="12"/>
      <c r="T1932" s="12"/>
      <c r="U1932" s="10" t="str">
        <f>HYPERLINK("https://pbs.twimg.com/profile_images/1068282825416351745/1-C4qiSO.jpg","View")</f>
        <v>View</v>
      </c>
    </row>
    <row r="1933" spans="1:21" ht="40.799999999999997">
      <c r="A1933" s="6">
        <v>43436.98060185185</v>
      </c>
      <c r="B1933" s="7" t="str">
        <f>HYPERLINK("https://twitter.com/inesgcaballo","@inesgcaballo")</f>
        <v>@inesgcaballo</v>
      </c>
      <c r="C1933" s="8" t="s">
        <v>6664</v>
      </c>
      <c r="D1933" s="9" t="s">
        <v>6665</v>
      </c>
      <c r="E1933" s="10" t="str">
        <f>HYPERLINK("https://twitter.com/inesgcaballo/status/1069358564681105409","1069358564681105409")</f>
        <v>1069358564681105409</v>
      </c>
      <c r="F1933" s="12"/>
      <c r="G1933" s="12"/>
      <c r="H1933" s="12"/>
      <c r="I1933" s="13">
        <v>1</v>
      </c>
      <c r="J1933" s="13">
        <v>5</v>
      </c>
      <c r="K1933" s="14" t="str">
        <f t="shared" ref="K1933:K1934" si="334">HYPERLINK("http://twitter.com/download/android","Twitter for Android")</f>
        <v>Twitter for Android</v>
      </c>
      <c r="L1933" s="13">
        <v>16702</v>
      </c>
      <c r="M1933" s="13">
        <v>7879</v>
      </c>
      <c r="N1933" s="13">
        <v>350</v>
      </c>
      <c r="O1933" s="15"/>
      <c r="P1933" s="6">
        <v>40226.709699074076</v>
      </c>
      <c r="Q1933" s="16" t="s">
        <v>232</v>
      </c>
      <c r="R1933" s="17" t="s">
        <v>6666</v>
      </c>
      <c r="S1933" s="11" t="s">
        <v>6667</v>
      </c>
      <c r="T1933" s="12"/>
      <c r="U1933" s="10" t="str">
        <f>HYPERLINK("https://pbs.twimg.com/profile_images/971996213133262850/2GJ2xppF.jpg","View")</f>
        <v>View</v>
      </c>
    </row>
    <row r="1934" spans="1:21" ht="20.399999999999999">
      <c r="A1934" s="6">
        <v>43436.980590277773</v>
      </c>
      <c r="B1934" s="7" t="str">
        <f>HYPERLINK("https://twitter.com/Shock_80","@Shock_80")</f>
        <v>@Shock_80</v>
      </c>
      <c r="C1934" s="8" t="s">
        <v>5191</v>
      </c>
      <c r="D1934" s="9" t="s">
        <v>6668</v>
      </c>
      <c r="E1934" s="10" t="str">
        <f>HYPERLINK("https://twitter.com/Shock_80/status/1069358561271123971","1069358561271123971")</f>
        <v>1069358561271123971</v>
      </c>
      <c r="F1934" s="12"/>
      <c r="G1934" s="12"/>
      <c r="H1934" s="12"/>
      <c r="I1934" s="13">
        <v>0</v>
      </c>
      <c r="J1934" s="13">
        <v>0</v>
      </c>
      <c r="K1934" s="14" t="str">
        <f t="shared" si="334"/>
        <v>Twitter for Android</v>
      </c>
      <c r="L1934" s="13">
        <v>107</v>
      </c>
      <c r="M1934" s="13">
        <v>496</v>
      </c>
      <c r="N1934" s="13">
        <v>7</v>
      </c>
      <c r="O1934" s="15"/>
      <c r="P1934" s="6">
        <v>40680.530439814815</v>
      </c>
      <c r="Q1934" s="16" t="s">
        <v>2556</v>
      </c>
      <c r="R1934" s="17" t="s">
        <v>6669</v>
      </c>
      <c r="S1934" s="12"/>
      <c r="T1934" s="12"/>
      <c r="U1934" s="10" t="str">
        <f>HYPERLINK("https://pbs.twimg.com/profile_images/900101564983062530/BpYzfmfO.jpg","View")</f>
        <v>View</v>
      </c>
    </row>
    <row r="1935" spans="1:21" ht="40.799999999999997">
      <c r="A1935" s="6">
        <v>43436.980578703704</v>
      </c>
      <c r="B1935" s="7" t="str">
        <f>HYPERLINK("https://twitter.com/dr_jpablo","@dr_jpablo")</f>
        <v>@dr_jpablo</v>
      </c>
      <c r="C1935" s="8" t="s">
        <v>6670</v>
      </c>
      <c r="D1935" s="9" t="s">
        <v>6671</v>
      </c>
      <c r="E1935" s="10" t="str">
        <f>HYPERLINK("https://twitter.com/dr_jpablo/status/1069358559614443521","1069358559614443521")</f>
        <v>1069358559614443521</v>
      </c>
      <c r="F1935" s="12"/>
      <c r="G1935" s="12"/>
      <c r="H1935" s="12"/>
      <c r="I1935" s="13">
        <v>0</v>
      </c>
      <c r="J1935" s="13">
        <v>0</v>
      </c>
      <c r="K1935" s="14" t="str">
        <f>HYPERLINK("http://twitter.com/download/iphone","Twitter for iPhone")</f>
        <v>Twitter for iPhone</v>
      </c>
      <c r="L1935" s="13">
        <v>728</v>
      </c>
      <c r="M1935" s="13">
        <v>880</v>
      </c>
      <c r="N1935" s="13">
        <v>9</v>
      </c>
      <c r="O1935" s="15"/>
      <c r="P1935" s="6">
        <v>40954.804629629631</v>
      </c>
      <c r="Q1935" s="16" t="s">
        <v>6672</v>
      </c>
      <c r="R1935" s="17" t="s">
        <v>6673</v>
      </c>
      <c r="S1935" s="12"/>
      <c r="T1935" s="12"/>
      <c r="U1935" s="10" t="str">
        <f>HYPERLINK("https://pbs.twimg.com/profile_images/982676820444237826/JTFKHxn0.jpg","View")</f>
        <v>View</v>
      </c>
    </row>
    <row r="1936" spans="1:21" ht="40.799999999999997">
      <c r="A1936" s="6">
        <v>43436.980543981481</v>
      </c>
      <c r="B1936" s="7" t="str">
        <f>HYPERLINK("https://twitter.com/Eddie79_Spain","@Eddie79_Spain")</f>
        <v>@Eddie79_Spain</v>
      </c>
      <c r="C1936" s="8" t="s">
        <v>6674</v>
      </c>
      <c r="D1936" s="9" t="s">
        <v>6675</v>
      </c>
      <c r="E1936" s="10" t="str">
        <f>HYPERLINK("https://twitter.com/Eddie79_Spain/status/1069358545538289670","1069358545538289670")</f>
        <v>1069358545538289670</v>
      </c>
      <c r="F1936" s="12"/>
      <c r="G1936" s="12"/>
      <c r="H1936" s="12"/>
      <c r="I1936" s="13">
        <v>0</v>
      </c>
      <c r="J1936" s="13">
        <v>0</v>
      </c>
      <c r="K1936" s="14" t="str">
        <f t="shared" ref="K1936:K1937" si="335">HYPERLINK("http://twitter.com/download/android","Twitter for Android")</f>
        <v>Twitter for Android</v>
      </c>
      <c r="L1936" s="13">
        <v>637</v>
      </c>
      <c r="M1936" s="13">
        <v>573</v>
      </c>
      <c r="N1936" s="13">
        <v>29</v>
      </c>
      <c r="O1936" s="15"/>
      <c r="P1936" s="6">
        <v>40646.031493055554</v>
      </c>
      <c r="Q1936" s="16" t="s">
        <v>191</v>
      </c>
      <c r="R1936" s="17" t="s">
        <v>6676</v>
      </c>
      <c r="S1936" s="11" t="s">
        <v>6677</v>
      </c>
      <c r="T1936" s="12"/>
      <c r="U1936" s="10" t="str">
        <f>HYPERLINK("https://pbs.twimg.com/profile_images/3577769873/ae02a30d37dfe21ca25e8500d5876500.jpeg","View")</f>
        <v>View</v>
      </c>
    </row>
    <row r="1937" spans="1:21" ht="30.6">
      <c r="A1937" s="6">
        <v>43436.980509259258</v>
      </c>
      <c r="B1937" s="7" t="str">
        <f>HYPERLINK("https://twitter.com/daniorito","@daniorito")</f>
        <v>@daniorito</v>
      </c>
      <c r="C1937" s="8" t="s">
        <v>6678</v>
      </c>
      <c r="D1937" s="9" t="s">
        <v>6679</v>
      </c>
      <c r="E1937" s="10" t="str">
        <f>HYPERLINK("https://twitter.com/daniorito/status/1069358534121463808","1069358534121463808")</f>
        <v>1069358534121463808</v>
      </c>
      <c r="F1937" s="12"/>
      <c r="G1937" s="12"/>
      <c r="H1937" s="12"/>
      <c r="I1937" s="13">
        <v>0</v>
      </c>
      <c r="J1937" s="13">
        <v>2</v>
      </c>
      <c r="K1937" s="14" t="str">
        <f t="shared" si="335"/>
        <v>Twitter for Android</v>
      </c>
      <c r="L1937" s="13">
        <v>708</v>
      </c>
      <c r="M1937" s="13">
        <v>1323</v>
      </c>
      <c r="N1937" s="13">
        <v>24</v>
      </c>
      <c r="O1937" s="15"/>
      <c r="P1937" s="6">
        <v>40109.546030092592</v>
      </c>
      <c r="Q1937" s="16" t="s">
        <v>6680</v>
      </c>
      <c r="R1937" s="17" t="s">
        <v>6681</v>
      </c>
      <c r="S1937" s="11" t="s">
        <v>6682</v>
      </c>
      <c r="T1937" s="12"/>
      <c r="U1937" s="10" t="str">
        <f>HYPERLINK("https://pbs.twimg.com/profile_images/580310581716090880/cTG_G-PC.jpg","View")</f>
        <v>View</v>
      </c>
    </row>
    <row r="1938" spans="1:21" ht="30.6">
      <c r="A1938" s="6">
        <v>43436.980509259258</v>
      </c>
      <c r="B1938" s="7" t="str">
        <f>HYPERLINK("https://twitter.com/EmilioCabrera7","@EmilioCabrera7")</f>
        <v>@EmilioCabrera7</v>
      </c>
      <c r="C1938" s="8" t="s">
        <v>6683</v>
      </c>
      <c r="D1938" s="9" t="s">
        <v>6684</v>
      </c>
      <c r="E1938" s="10" t="str">
        <f>HYPERLINK("https://twitter.com/EmilioCabrera7/status/1069358532221431809","1069358532221431809")</f>
        <v>1069358532221431809</v>
      </c>
      <c r="F1938" s="12"/>
      <c r="G1938" s="12"/>
      <c r="H1938" s="12"/>
      <c r="I1938" s="13">
        <v>1</v>
      </c>
      <c r="J1938" s="13">
        <v>3</v>
      </c>
      <c r="K1938" s="14" t="str">
        <f>HYPERLINK("https://about.twitter.com/products/tweetdeck","TweetDeck")</f>
        <v>TweetDeck</v>
      </c>
      <c r="L1938" s="13">
        <v>1544</v>
      </c>
      <c r="M1938" s="13">
        <v>994</v>
      </c>
      <c r="N1938" s="13">
        <v>52</v>
      </c>
      <c r="O1938" s="15"/>
      <c r="P1938" s="6">
        <v>40316.761932870373</v>
      </c>
      <c r="Q1938" s="16" t="s">
        <v>6685</v>
      </c>
      <c r="R1938" s="17" t="s">
        <v>6686</v>
      </c>
      <c r="S1938" s="11" t="s">
        <v>6687</v>
      </c>
      <c r="T1938" s="12"/>
      <c r="U1938" s="10" t="str">
        <f>HYPERLINK("https://pbs.twimg.com/profile_images/1067804798693588992/p7W1rwAw.jpg","View")</f>
        <v>View</v>
      </c>
    </row>
    <row r="1939" spans="1:21" ht="30.6">
      <c r="A1939" s="6">
        <v>43436.980509259258</v>
      </c>
      <c r="B1939" s="7" t="str">
        <f>HYPERLINK("https://twitter.com/beatrizcn_","@beatrizcn_")</f>
        <v>@beatrizcn_</v>
      </c>
      <c r="C1939" s="8" t="s">
        <v>6688</v>
      </c>
      <c r="D1939" s="9" t="s">
        <v>6689</v>
      </c>
      <c r="E1939" s="10" t="str">
        <f>HYPERLINK("https://twitter.com/beatrizcn_/status/1069358530560491522","1069358530560491522")</f>
        <v>1069358530560491522</v>
      </c>
      <c r="F1939" s="12"/>
      <c r="G1939" s="12"/>
      <c r="H1939" s="12"/>
      <c r="I1939" s="13">
        <v>0</v>
      </c>
      <c r="J1939" s="13">
        <v>1</v>
      </c>
      <c r="K1939" s="14" t="str">
        <f>HYPERLINK("http://twitter.com/download/android","Twitter for Android")</f>
        <v>Twitter for Android</v>
      </c>
      <c r="L1939" s="13">
        <v>1362</v>
      </c>
      <c r="M1939" s="13">
        <v>1290</v>
      </c>
      <c r="N1939" s="13">
        <v>19</v>
      </c>
      <c r="O1939" s="15"/>
      <c r="P1939" s="6">
        <v>40847.58530092593</v>
      </c>
      <c r="Q1939" s="16" t="s">
        <v>6690</v>
      </c>
      <c r="R1939" s="17" t="s">
        <v>6691</v>
      </c>
      <c r="S1939" s="11" t="s">
        <v>6692</v>
      </c>
      <c r="T1939" s="12"/>
      <c r="U1939" s="10" t="str">
        <f>HYPERLINK("https://pbs.twimg.com/profile_images/1065603199254609920/-uoY4ovV.jpg","View")</f>
        <v>View</v>
      </c>
    </row>
    <row r="1940" spans="1:21" ht="51">
      <c r="A1940" s="6">
        <v>43436.980486111112</v>
      </c>
      <c r="B1940" s="7" t="str">
        <f>HYPERLINK("https://twitter.com/ManuBonachela","@ManuBonachela")</f>
        <v>@ManuBonachela</v>
      </c>
      <c r="C1940" s="8" t="s">
        <v>6693</v>
      </c>
      <c r="D1940" s="9" t="s">
        <v>6694</v>
      </c>
      <c r="E1940" s="10" t="str">
        <f>HYPERLINK("https://twitter.com/ManuBonachela/status/1069358523471941634","1069358523471941634")</f>
        <v>1069358523471941634</v>
      </c>
      <c r="F1940" s="12"/>
      <c r="G1940" s="12"/>
      <c r="H1940" s="12"/>
      <c r="I1940" s="13">
        <v>0</v>
      </c>
      <c r="J1940" s="13">
        <v>0</v>
      </c>
      <c r="K1940" s="14" t="str">
        <f t="shared" ref="K1940:K1941" si="336">HYPERLINK("http://twitter.com/download/iphone","Twitter for iPhone")</f>
        <v>Twitter for iPhone</v>
      </c>
      <c r="L1940" s="13">
        <v>2851</v>
      </c>
      <c r="M1940" s="13">
        <v>1866</v>
      </c>
      <c r="N1940" s="13">
        <v>129</v>
      </c>
      <c r="O1940" s="15"/>
      <c r="P1940" s="6">
        <v>39898.495949074073</v>
      </c>
      <c r="Q1940" s="16" t="s">
        <v>6695</v>
      </c>
      <c r="R1940" s="17" t="s">
        <v>6696</v>
      </c>
      <c r="S1940" s="11" t="s">
        <v>6697</v>
      </c>
      <c r="T1940" s="12"/>
      <c r="U1940" s="10" t="str">
        <f>HYPERLINK("https://pbs.twimg.com/profile_images/1045964516574420998/QYMNW3ts.jpg","View")</f>
        <v>View</v>
      </c>
    </row>
    <row r="1941" spans="1:21" ht="30.6">
      <c r="A1941" s="6">
        <v>43436.98038194445</v>
      </c>
      <c r="B1941" s="7" t="str">
        <f>HYPERLINK("https://twitter.com/JosepSalme","@JosepSalme")</f>
        <v>@JosepSalme</v>
      </c>
      <c r="C1941" s="8" t="s">
        <v>6698</v>
      </c>
      <c r="D1941" s="9" t="s">
        <v>6699</v>
      </c>
      <c r="E1941" s="10" t="str">
        <f>HYPERLINK("https://twitter.com/JosepSalme/status/1069358488315404289","1069358488315404289")</f>
        <v>1069358488315404289</v>
      </c>
      <c r="F1941" s="12"/>
      <c r="G1941" s="12"/>
      <c r="H1941" s="12"/>
      <c r="I1941" s="13">
        <v>0</v>
      </c>
      <c r="J1941" s="13">
        <v>1</v>
      </c>
      <c r="K1941" s="14" t="str">
        <f t="shared" si="336"/>
        <v>Twitter for iPhone</v>
      </c>
      <c r="L1941" s="13">
        <v>2078</v>
      </c>
      <c r="M1941" s="13">
        <v>2068</v>
      </c>
      <c r="N1941" s="13">
        <v>39</v>
      </c>
      <c r="O1941" s="15"/>
      <c r="P1941" s="6">
        <v>40442.801087962966</v>
      </c>
      <c r="Q1941" s="16" t="s">
        <v>6700</v>
      </c>
      <c r="R1941" s="17" t="s">
        <v>6701</v>
      </c>
      <c r="S1941" s="11" t="s">
        <v>6702</v>
      </c>
      <c r="T1941" s="12"/>
      <c r="U1941" s="10" t="str">
        <f>HYPERLINK("https://pbs.twimg.com/profile_images/1064276196135976962/Xdhiteqg.jpg","View")</f>
        <v>View</v>
      </c>
    </row>
    <row r="1942" spans="1:21" ht="40.799999999999997">
      <c r="A1942" s="6">
        <v>43436.98038194445</v>
      </c>
      <c r="B1942" s="7" t="str">
        <f>HYPERLINK("https://twitter.com/DRY15M","@DRY15M")</f>
        <v>@DRY15M</v>
      </c>
      <c r="C1942" s="8" t="s">
        <v>6703</v>
      </c>
      <c r="D1942" s="9" t="s">
        <v>6704</v>
      </c>
      <c r="E1942" s="10" t="str">
        <f>HYPERLINK("https://twitter.com/DRY15M/status/1069358487505911813","1069358487505911813")</f>
        <v>1069358487505911813</v>
      </c>
      <c r="F1942" s="12"/>
      <c r="G1942" s="12"/>
      <c r="H1942" s="12"/>
      <c r="I1942" s="13">
        <v>0</v>
      </c>
      <c r="J1942" s="13">
        <v>1</v>
      </c>
      <c r="K1942" s="14" t="str">
        <f>HYPERLINK("http://www.facebook.com/twitter","Facebook")</f>
        <v>Facebook</v>
      </c>
      <c r="L1942" s="13">
        <v>403</v>
      </c>
      <c r="M1942" s="13">
        <v>455</v>
      </c>
      <c r="N1942" s="13">
        <v>2</v>
      </c>
      <c r="O1942" s="15"/>
      <c r="P1942" s="6">
        <v>41155.98642361111</v>
      </c>
      <c r="Q1942" s="12"/>
      <c r="R1942" s="17" t="s">
        <v>6705</v>
      </c>
      <c r="S1942" s="12"/>
      <c r="T1942" s="12"/>
      <c r="U1942" s="10" t="str">
        <f>HYPERLINK("https://pbs.twimg.com/profile_images/3564975693/49f3b2dcdfd6f4e4d27f5c480b9af089.jpeg","View")</f>
        <v>View</v>
      </c>
    </row>
    <row r="1943" spans="1:21" ht="40.799999999999997">
      <c r="A1943" s="6">
        <v>43436.980370370366</v>
      </c>
      <c r="B1943" s="7" t="str">
        <f>HYPERLINK("https://twitter.com/Javier_ABG","@Javier_ABG")</f>
        <v>@Javier_ABG</v>
      </c>
      <c r="C1943" s="8" t="s">
        <v>6706</v>
      </c>
      <c r="D1943" s="9" t="s">
        <v>6707</v>
      </c>
      <c r="E1943" s="10" t="str">
        <f>HYPERLINK("https://twitter.com/Javier_ABG/status/1069358480379838464","1069358480379838464")</f>
        <v>1069358480379838464</v>
      </c>
      <c r="F1943" s="12"/>
      <c r="G1943" s="12"/>
      <c r="H1943" s="12"/>
      <c r="I1943" s="13">
        <v>0</v>
      </c>
      <c r="J1943" s="13">
        <v>0</v>
      </c>
      <c r="K1943" s="14" t="str">
        <f>HYPERLINK("http://twitter.com/download/iphone","Twitter for iPhone")</f>
        <v>Twitter for iPhone</v>
      </c>
      <c r="L1943" s="13">
        <v>953</v>
      </c>
      <c r="M1943" s="13">
        <v>771</v>
      </c>
      <c r="N1943" s="13">
        <v>8</v>
      </c>
      <c r="O1943" s="15"/>
      <c r="P1943" s="6">
        <v>40917.949247685188</v>
      </c>
      <c r="Q1943" s="16" t="s">
        <v>795</v>
      </c>
      <c r="R1943" s="17" t="s">
        <v>6709</v>
      </c>
      <c r="S1943" s="12"/>
      <c r="T1943" s="12"/>
      <c r="U1943" s="10" t="str">
        <f>HYPERLINK("https://pbs.twimg.com/profile_images/934120402539962370/gjUZip7n.jpg","View")</f>
        <v>View</v>
      </c>
    </row>
    <row r="1944" spans="1:21" ht="40.799999999999997">
      <c r="A1944" s="6">
        <v>43436.980347222227</v>
      </c>
      <c r="B1944" s="7" t="str">
        <f>HYPERLINK("https://twitter.com/PonsPereAntoni","@PonsPereAntoni")</f>
        <v>@PonsPereAntoni</v>
      </c>
      <c r="C1944" s="8" t="s">
        <v>6710</v>
      </c>
      <c r="D1944" s="9" t="s">
        <v>6711</v>
      </c>
      <c r="E1944" s="10" t="str">
        <f>HYPERLINK("https://twitter.com/PonsPereAntoni/status/1069358475078221825","1069358475078221825")</f>
        <v>1069358475078221825</v>
      </c>
      <c r="F1944" s="12"/>
      <c r="G1944" s="12"/>
      <c r="H1944" s="12"/>
      <c r="I1944" s="13">
        <v>1</v>
      </c>
      <c r="J1944" s="13">
        <v>2</v>
      </c>
      <c r="K1944" s="14" t="str">
        <f>HYPERLINK("http://twitter.com","Twitter Web Client")</f>
        <v>Twitter Web Client</v>
      </c>
      <c r="L1944" s="13">
        <v>1513</v>
      </c>
      <c r="M1944" s="13">
        <v>599</v>
      </c>
      <c r="N1944" s="13">
        <v>14</v>
      </c>
      <c r="O1944" s="15"/>
      <c r="P1944" s="6">
        <v>42856.811377314814</v>
      </c>
      <c r="Q1944" s="16" t="s">
        <v>6712</v>
      </c>
      <c r="R1944" s="17" t="s">
        <v>6713</v>
      </c>
      <c r="S1944" s="12"/>
      <c r="T1944" s="12"/>
      <c r="U1944" s="10" t="str">
        <f>HYPERLINK("https://pbs.twimg.com/profile_images/1047463096925741056/ZsukhaWS.jpg","View")</f>
        <v>View</v>
      </c>
    </row>
    <row r="1945" spans="1:21" ht="30.6">
      <c r="A1945" s="6">
        <v>43436.980347222227</v>
      </c>
      <c r="B1945" s="7" t="str">
        <f>HYPERLINK("https://twitter.com/SIESOY","@SIESOY")</f>
        <v>@SIESOY</v>
      </c>
      <c r="C1945" s="8" t="s">
        <v>6714</v>
      </c>
      <c r="D1945" s="9" t="s">
        <v>6715</v>
      </c>
      <c r="E1945" s="10" t="str">
        <f>HYPERLINK("https://twitter.com/SIESOY/status/1069358472016379906","1069358472016379906")</f>
        <v>1069358472016379906</v>
      </c>
      <c r="F1945" s="12"/>
      <c r="G1945" s="12"/>
      <c r="H1945" s="12"/>
      <c r="I1945" s="13">
        <v>0</v>
      </c>
      <c r="J1945" s="13">
        <v>2</v>
      </c>
      <c r="K1945" s="14" t="str">
        <f>HYPERLINK("http://twitter.com/download/iphone","Twitter for iPhone")</f>
        <v>Twitter for iPhone</v>
      </c>
      <c r="L1945" s="13">
        <v>926</v>
      </c>
      <c r="M1945" s="13">
        <v>898</v>
      </c>
      <c r="N1945" s="13">
        <v>37</v>
      </c>
      <c r="O1945" s="15"/>
      <c r="P1945" s="6">
        <v>40395.519502314812</v>
      </c>
      <c r="Q1945" s="16" t="s">
        <v>6716</v>
      </c>
      <c r="R1945" s="17" t="s">
        <v>6717</v>
      </c>
      <c r="S1945" s="11" t="s">
        <v>6718</v>
      </c>
      <c r="T1945" s="12"/>
      <c r="U1945" s="10" t="str">
        <f>HYPERLINK("https://pbs.twimg.com/profile_images/2358157762/image.jpg","View")</f>
        <v>View</v>
      </c>
    </row>
    <row r="1946" spans="1:21" ht="20.399999999999999">
      <c r="A1946" s="6">
        <v>43436.980324074073</v>
      </c>
      <c r="B1946" s="7" t="str">
        <f>HYPERLINK("https://twitter.com/XOXOT12","@XOXOT12")</f>
        <v>@XOXOT12</v>
      </c>
      <c r="C1946" s="8" t="s">
        <v>6719</v>
      </c>
      <c r="D1946" s="9" t="s">
        <v>6720</v>
      </c>
      <c r="E1946" s="10" t="str">
        <f>HYPERLINK("https://twitter.com/XOXOT12/status/1069358465263509510","1069358465263509510")</f>
        <v>1069358465263509510</v>
      </c>
      <c r="F1946" s="12"/>
      <c r="G1946" s="12"/>
      <c r="H1946" s="12"/>
      <c r="I1946" s="13">
        <v>0</v>
      </c>
      <c r="J1946" s="13">
        <v>0</v>
      </c>
      <c r="K1946" s="14" t="str">
        <f>HYPERLINK("http://twitter.com/download/android","Twitter for Android")</f>
        <v>Twitter for Android</v>
      </c>
      <c r="L1946" s="13">
        <v>2026</v>
      </c>
      <c r="M1946" s="13">
        <v>536</v>
      </c>
      <c r="N1946" s="13">
        <v>20</v>
      </c>
      <c r="O1946" s="15"/>
      <c r="P1946" s="6">
        <v>40349.169479166667</v>
      </c>
      <c r="Q1946" s="16" t="s">
        <v>3021</v>
      </c>
      <c r="R1946" s="17" t="s">
        <v>6721</v>
      </c>
      <c r="S1946" s="11" t="s">
        <v>6722</v>
      </c>
      <c r="T1946" s="12"/>
      <c r="U1946" s="10" t="str">
        <f>HYPERLINK("https://pbs.twimg.com/profile_images/1067032410406174720/RYc5xH7f.jpg","View")</f>
        <v>View</v>
      </c>
    </row>
    <row r="1947" spans="1:21" ht="20.399999999999999">
      <c r="A1947" s="6">
        <v>43436.980266203704</v>
      </c>
      <c r="B1947" s="7" t="str">
        <f>HYPERLINK("https://twitter.com/AleAlejandroAZ","@AleAlejandroAZ")</f>
        <v>@AleAlejandroAZ</v>
      </c>
      <c r="C1947" s="8" t="s">
        <v>6723</v>
      </c>
      <c r="D1947" s="9" t="s">
        <v>6724</v>
      </c>
      <c r="E1947" s="10" t="str">
        <f>HYPERLINK("https://twitter.com/AleAlejandroAZ/status/1069358446095536128","1069358446095536128")</f>
        <v>1069358446095536128</v>
      </c>
      <c r="F1947" s="12"/>
      <c r="G1947" s="11" t="s">
        <v>6725</v>
      </c>
      <c r="H1947" s="12"/>
      <c r="I1947" s="13">
        <v>1</v>
      </c>
      <c r="J1947" s="13">
        <v>7</v>
      </c>
      <c r="K1947" s="14" t="str">
        <f t="shared" ref="K1947:K1948" si="337">HYPERLINK("http://twitter.com/download/iphone","Twitter for iPhone")</f>
        <v>Twitter for iPhone</v>
      </c>
      <c r="L1947" s="13">
        <v>8592</v>
      </c>
      <c r="M1947" s="13">
        <v>537</v>
      </c>
      <c r="N1947" s="13">
        <v>72</v>
      </c>
      <c r="O1947" s="15"/>
      <c r="P1947" s="6">
        <v>40474.712210648147</v>
      </c>
      <c r="Q1947" s="12"/>
      <c r="R1947" s="17" t="s">
        <v>6726</v>
      </c>
      <c r="S1947" s="12"/>
      <c r="T1947" s="12"/>
      <c r="U1947" s="10" t="str">
        <f>HYPERLINK("https://pbs.twimg.com/profile_images/947520897539244032/jKyhLxsd.jpg","View")</f>
        <v>View</v>
      </c>
    </row>
    <row r="1948" spans="1:21" ht="20.399999999999999">
      <c r="A1948" s="6">
        <v>43436.980266203704</v>
      </c>
      <c r="B1948" s="7" t="str">
        <f>HYPERLINK("https://twitter.com/Thoosher","@Thoosher")</f>
        <v>@Thoosher</v>
      </c>
      <c r="C1948" s="8" t="s">
        <v>6727</v>
      </c>
      <c r="D1948" s="9" t="s">
        <v>6728</v>
      </c>
      <c r="E1948" s="10" t="str">
        <f>HYPERLINK("https://twitter.com/Thoosher/status/1069358444933726213","1069358444933726213")</f>
        <v>1069358444933726213</v>
      </c>
      <c r="F1948" s="12"/>
      <c r="G1948" s="12"/>
      <c r="H1948" s="12"/>
      <c r="I1948" s="13">
        <v>0</v>
      </c>
      <c r="J1948" s="13">
        <v>1</v>
      </c>
      <c r="K1948" s="14" t="str">
        <f t="shared" si="337"/>
        <v>Twitter for iPhone</v>
      </c>
      <c r="L1948" s="13">
        <v>179</v>
      </c>
      <c r="M1948" s="13">
        <v>191</v>
      </c>
      <c r="N1948" s="13">
        <v>5</v>
      </c>
      <c r="O1948" s="15"/>
      <c r="P1948" s="6">
        <v>41423.833634259259</v>
      </c>
      <c r="Q1948" s="16" t="s">
        <v>6729</v>
      </c>
      <c r="R1948" s="17" t="s">
        <v>6730</v>
      </c>
      <c r="S1948" s="11" t="s">
        <v>6731</v>
      </c>
      <c r="T1948" s="12"/>
      <c r="U1948" s="10" t="str">
        <f>HYPERLINK("https://pbs.twimg.com/profile_images/905783196251561984/QLqxcQFE.jpg","View")</f>
        <v>View</v>
      </c>
    </row>
    <row r="1949" spans="1:21" ht="30.6">
      <c r="A1949" s="6">
        <v>43436.980254629627</v>
      </c>
      <c r="B1949" s="7" t="str">
        <f>HYPERLINK("https://twitter.com/jacintogg2","@jacintogg2")</f>
        <v>@jacintogg2</v>
      </c>
      <c r="C1949" s="8" t="s">
        <v>6732</v>
      </c>
      <c r="D1949" s="9" t="s">
        <v>6734</v>
      </c>
      <c r="E1949" s="10" t="str">
        <f>HYPERLINK("https://twitter.com/jacintogg2/status/1069358440248684547","1069358440248684547")</f>
        <v>1069358440248684547</v>
      </c>
      <c r="F1949" s="12"/>
      <c r="G1949" s="12"/>
      <c r="H1949" s="12"/>
      <c r="I1949" s="13">
        <v>1</v>
      </c>
      <c r="J1949" s="13">
        <v>1</v>
      </c>
      <c r="K1949" s="14" t="str">
        <f t="shared" ref="K1949:K1951" si="338">HYPERLINK("http://twitter.com/download/android","Twitter for Android")</f>
        <v>Twitter for Android</v>
      </c>
      <c r="L1949" s="13">
        <v>50</v>
      </c>
      <c r="M1949" s="13">
        <v>177</v>
      </c>
      <c r="N1949" s="13">
        <v>1</v>
      </c>
      <c r="O1949" s="15"/>
      <c r="P1949" s="6">
        <v>41237.79042824074</v>
      </c>
      <c r="Q1949" s="16" t="s">
        <v>6735</v>
      </c>
      <c r="R1949" s="20"/>
      <c r="S1949" s="12"/>
      <c r="T1949" s="12"/>
      <c r="U1949" s="10" t="str">
        <f>HYPERLINK("https://pbs.twimg.com/profile_images/959392076076081152/s4iQWZEz.jpg","View")</f>
        <v>View</v>
      </c>
    </row>
    <row r="1950" spans="1:21" ht="30.6">
      <c r="A1950" s="6">
        <v>43436.980231481481</v>
      </c>
      <c r="B1950" s="7" t="str">
        <f>HYPERLINK("https://twitter.com/sergio260177","@sergio260177")</f>
        <v>@sergio260177</v>
      </c>
      <c r="C1950" s="8" t="s">
        <v>6739</v>
      </c>
      <c r="D1950" s="9" t="s">
        <v>6740</v>
      </c>
      <c r="E1950" s="10" t="str">
        <f>HYPERLINK("https://twitter.com/sergio260177/status/1069358433772728323","1069358433772728323")</f>
        <v>1069358433772728323</v>
      </c>
      <c r="F1950" s="12"/>
      <c r="G1950" s="12"/>
      <c r="H1950" s="12"/>
      <c r="I1950" s="13">
        <v>0</v>
      </c>
      <c r="J1950" s="13">
        <v>2</v>
      </c>
      <c r="K1950" s="14" t="str">
        <f t="shared" si="338"/>
        <v>Twitter for Android</v>
      </c>
      <c r="L1950" s="13">
        <v>132</v>
      </c>
      <c r="M1950" s="13">
        <v>253</v>
      </c>
      <c r="N1950" s="13">
        <v>0</v>
      </c>
      <c r="O1950" s="15"/>
      <c r="P1950" s="6">
        <v>40626.588969907403</v>
      </c>
      <c r="Q1950" s="16" t="s">
        <v>6741</v>
      </c>
      <c r="R1950" s="17" t="s">
        <v>6742</v>
      </c>
      <c r="S1950" s="12"/>
      <c r="T1950" s="12"/>
      <c r="U1950" s="10" t="str">
        <f>HYPERLINK("https://pbs.twimg.com/profile_images/546451087692021760/91b6seAU.jpeg","View")</f>
        <v>View</v>
      </c>
    </row>
    <row r="1951" spans="1:21" ht="40.799999999999997">
      <c r="A1951" s="6">
        <v>43436.980173611111</v>
      </c>
      <c r="B1951" s="7" t="str">
        <f>HYPERLINK("https://twitter.com/CynthiaGarcia_2","@CynthiaGarcia_2")</f>
        <v>@CynthiaGarcia_2</v>
      </c>
      <c r="C1951" s="8" t="s">
        <v>6744</v>
      </c>
      <c r="D1951" s="9" t="s">
        <v>6745</v>
      </c>
      <c r="E1951" s="10" t="str">
        <f>HYPERLINK("https://twitter.com/CynthiaGarcia_2/status/1069358408850178048","1069358408850178048")</f>
        <v>1069358408850178048</v>
      </c>
      <c r="F1951" s="12"/>
      <c r="G1951" s="12"/>
      <c r="H1951" s="12"/>
      <c r="I1951" s="13">
        <v>0</v>
      </c>
      <c r="J1951" s="13">
        <v>0</v>
      </c>
      <c r="K1951" s="14" t="str">
        <f t="shared" si="338"/>
        <v>Twitter for Android</v>
      </c>
      <c r="L1951" s="13">
        <v>876</v>
      </c>
      <c r="M1951" s="13">
        <v>915</v>
      </c>
      <c r="N1951" s="13">
        <v>11</v>
      </c>
      <c r="O1951" s="15"/>
      <c r="P1951" s="6">
        <v>40706.964560185181</v>
      </c>
      <c r="Q1951" s="16" t="s">
        <v>6746</v>
      </c>
      <c r="R1951" s="17" t="s">
        <v>6747</v>
      </c>
      <c r="S1951" s="12"/>
      <c r="T1951" s="12"/>
      <c r="U1951" s="10" t="str">
        <f>HYPERLINK("https://pbs.twimg.com/profile_images/1061024797654728708/EcYK-s3g.jpg","View")</f>
        <v>View</v>
      </c>
    </row>
    <row r="1952" spans="1:21" ht="20.399999999999999">
      <c r="A1952" s="6">
        <v>43436.980162037042</v>
      </c>
      <c r="B1952" s="7" t="str">
        <f>HYPERLINK("https://twitter.com/jesusjmmolina","@jesusjmmolina")</f>
        <v>@jesusjmmolina</v>
      </c>
      <c r="C1952" s="8" t="s">
        <v>6749</v>
      </c>
      <c r="D1952" s="9" t="s">
        <v>6750</v>
      </c>
      <c r="E1952" s="10" t="str">
        <f>HYPERLINK("https://twitter.com/jesusjmmolina/status/1069358408388800512","1069358408388800512")</f>
        <v>1069358408388800512</v>
      </c>
      <c r="F1952" s="12"/>
      <c r="G1952" s="12"/>
      <c r="H1952" s="12"/>
      <c r="I1952" s="13">
        <v>0</v>
      </c>
      <c r="J1952" s="13">
        <v>0</v>
      </c>
      <c r="K1952" s="14" t="str">
        <f>HYPERLINK("https://mobile.twitter.com","Twitter Lite")</f>
        <v>Twitter Lite</v>
      </c>
      <c r="L1952" s="13">
        <v>363</v>
      </c>
      <c r="M1952" s="13">
        <v>494</v>
      </c>
      <c r="N1952" s="13">
        <v>19</v>
      </c>
      <c r="O1952" s="15"/>
      <c r="P1952" s="6">
        <v>42665.510138888887</v>
      </c>
      <c r="Q1952" s="16" t="s">
        <v>6751</v>
      </c>
      <c r="R1952" s="17" t="s">
        <v>6752</v>
      </c>
      <c r="S1952" s="12"/>
      <c r="T1952" s="12"/>
      <c r="U1952" s="10" t="str">
        <f>HYPERLINK("https://pbs.twimg.com/profile_images/1071011499496366082/tawIYqNB.jpg","View")</f>
        <v>View</v>
      </c>
    </row>
    <row r="1953" spans="1:21" ht="40.799999999999997">
      <c r="A1953" s="6">
        <v>43436.980162037042</v>
      </c>
      <c r="B1953" s="7" t="str">
        <f>HYPERLINK("https://twitter.com/rvmagallares","@rvmagallares")</f>
        <v>@rvmagallares</v>
      </c>
      <c r="C1953" s="8" t="s">
        <v>6753</v>
      </c>
      <c r="D1953" s="9" t="s">
        <v>6754</v>
      </c>
      <c r="E1953" s="10" t="str">
        <f>HYPERLINK("https://twitter.com/rvmagallares/status/1069358406358786049","1069358406358786049")</f>
        <v>1069358406358786049</v>
      </c>
      <c r="F1953" s="12"/>
      <c r="G1953" s="12"/>
      <c r="H1953" s="12"/>
      <c r="I1953" s="13">
        <v>0</v>
      </c>
      <c r="J1953" s="13">
        <v>0</v>
      </c>
      <c r="K1953" s="14" t="str">
        <f>HYPERLINK("http://twitter.com/download/android","Twitter for Android")</f>
        <v>Twitter for Android</v>
      </c>
      <c r="L1953" s="13">
        <v>280</v>
      </c>
      <c r="M1953" s="13">
        <v>729</v>
      </c>
      <c r="N1953" s="13">
        <v>1</v>
      </c>
      <c r="O1953" s="15"/>
      <c r="P1953" s="6">
        <v>40714.951087962967</v>
      </c>
      <c r="Q1953" s="16" t="s">
        <v>689</v>
      </c>
      <c r="R1953" s="17" t="s">
        <v>6755</v>
      </c>
      <c r="S1953" s="12"/>
      <c r="T1953" s="12"/>
      <c r="U1953" s="10" t="str">
        <f>HYPERLINK("https://pbs.twimg.com/profile_images/622462338097115136/J9d9wpM_.jpg","View")</f>
        <v>View</v>
      </c>
    </row>
    <row r="1954" spans="1:21" ht="40.799999999999997">
      <c r="A1954" s="6">
        <v>43436.980127314819</v>
      </c>
      <c r="B1954" s="7" t="str">
        <f>HYPERLINK("https://twitter.com/Encarna_ag","@Encarna_ag")</f>
        <v>@Encarna_ag</v>
      </c>
      <c r="C1954" s="8" t="s">
        <v>6756</v>
      </c>
      <c r="D1954" s="9" t="s">
        <v>6757</v>
      </c>
      <c r="E1954" s="10" t="str">
        <f>HYPERLINK("https://twitter.com/Encarna_ag/status/1069358393910005761","1069358393910005761")</f>
        <v>1069358393910005761</v>
      </c>
      <c r="F1954" s="12"/>
      <c r="G1954" s="12"/>
      <c r="H1954" s="12"/>
      <c r="I1954" s="13">
        <v>0</v>
      </c>
      <c r="J1954" s="13">
        <v>0</v>
      </c>
      <c r="K1954" s="14" t="str">
        <f>HYPERLINK("http://twitter.com","Twitter Web Client")</f>
        <v>Twitter Web Client</v>
      </c>
      <c r="L1954" s="13">
        <v>1010</v>
      </c>
      <c r="M1954" s="13">
        <v>1382</v>
      </c>
      <c r="N1954" s="13">
        <v>12</v>
      </c>
      <c r="O1954" s="15"/>
      <c r="P1954" s="6">
        <v>40801.028460648144</v>
      </c>
      <c r="Q1954" s="16" t="s">
        <v>6759</v>
      </c>
      <c r="R1954" s="17" t="s">
        <v>6760</v>
      </c>
      <c r="S1954" s="12"/>
      <c r="T1954" s="12"/>
      <c r="U1954" s="10" t="str">
        <f>HYPERLINK("https://pbs.twimg.com/profile_images/1058434558268452865/uu1hYnxE.jpg","View")</f>
        <v>View</v>
      </c>
    </row>
    <row r="1955" spans="1:21" ht="30.6">
      <c r="A1955" s="6">
        <v>43436.980104166665</v>
      </c>
      <c r="B1955" s="7" t="str">
        <f>HYPERLINK("https://twitter.com/VidalJuanma","@VidalJuanma")</f>
        <v>@VidalJuanma</v>
      </c>
      <c r="C1955" s="8" t="s">
        <v>5449</v>
      </c>
      <c r="D1955" s="9" t="s">
        <v>6763</v>
      </c>
      <c r="E1955" s="10" t="str">
        <f>HYPERLINK("https://twitter.com/VidalJuanma/status/1069358384439279619","1069358384439279619")</f>
        <v>1069358384439279619</v>
      </c>
      <c r="F1955" s="12"/>
      <c r="G1955" s="12"/>
      <c r="H1955" s="12"/>
      <c r="I1955" s="13">
        <v>1</v>
      </c>
      <c r="J1955" s="13">
        <v>1</v>
      </c>
      <c r="K1955" s="14" t="str">
        <f>HYPERLINK("http://twitter.com/download/android","Twitter for Android")</f>
        <v>Twitter for Android</v>
      </c>
      <c r="L1955" s="13">
        <v>5132</v>
      </c>
      <c r="M1955" s="13">
        <v>4369</v>
      </c>
      <c r="N1955" s="13">
        <v>108</v>
      </c>
      <c r="O1955" s="15"/>
      <c r="P1955" s="6">
        <v>40585.843981481477</v>
      </c>
      <c r="Q1955" s="16" t="s">
        <v>5452</v>
      </c>
      <c r="R1955" s="17" t="s">
        <v>5453</v>
      </c>
      <c r="S1955" s="12"/>
      <c r="T1955" s="12"/>
      <c r="U1955" s="10" t="str">
        <f>HYPERLINK("https://pbs.twimg.com/profile_images/1063583830127403008/6aHeVYqS.jpg","View")</f>
        <v>View</v>
      </c>
    </row>
    <row r="1956" spans="1:21" ht="20.399999999999999">
      <c r="A1956" s="6">
        <v>43436.980069444442</v>
      </c>
      <c r="B1956" s="7" t="str">
        <f>HYPERLINK("https://twitter.com/arquitectA5","@arquitectA5")</f>
        <v>@arquitectA5</v>
      </c>
      <c r="C1956" s="8" t="s">
        <v>6764</v>
      </c>
      <c r="D1956" s="9" t="s">
        <v>6765</v>
      </c>
      <c r="E1956" s="10" t="str">
        <f>HYPERLINK("https://twitter.com/arquitectA5/status/1069358372456153088","1069358372456153088")</f>
        <v>1069358372456153088</v>
      </c>
      <c r="F1956" s="12"/>
      <c r="G1956" s="12"/>
      <c r="H1956" s="12"/>
      <c r="I1956" s="13">
        <v>0</v>
      </c>
      <c r="J1956" s="13">
        <v>0</v>
      </c>
      <c r="K1956" s="14" t="str">
        <f>HYPERLINK("http://twitter.com/download/iphone","Twitter for iPhone")</f>
        <v>Twitter for iPhone</v>
      </c>
      <c r="L1956" s="13">
        <v>88</v>
      </c>
      <c r="M1956" s="13">
        <v>270</v>
      </c>
      <c r="N1956" s="13">
        <v>2</v>
      </c>
      <c r="O1956" s="15"/>
      <c r="P1956" s="6">
        <v>43022.455231481479</v>
      </c>
      <c r="Q1956" s="12"/>
      <c r="R1956" s="20"/>
      <c r="S1956" s="12"/>
      <c r="T1956" s="12"/>
      <c r="U1956" s="10" t="str">
        <f>HYPERLINK("https://pbs.twimg.com/profile_images/919126434249084928/-hwaVhVo.jpg","View")</f>
        <v>View</v>
      </c>
    </row>
    <row r="1957" spans="1:21" ht="30.6">
      <c r="A1957" s="6">
        <v>43436.980069444442</v>
      </c>
      <c r="B1957" s="7" t="str">
        <f>HYPERLINK("https://twitter.com/DieFrauGarcia","@DieFrauGarcia")</f>
        <v>@DieFrauGarcia</v>
      </c>
      <c r="C1957" s="8" t="s">
        <v>6766</v>
      </c>
      <c r="D1957" s="9" t="s">
        <v>6767</v>
      </c>
      <c r="E1957" s="10" t="str">
        <f>HYPERLINK("https://twitter.com/DieFrauGarcia/status/1069358371407577089","1069358371407577089")</f>
        <v>1069358371407577089</v>
      </c>
      <c r="F1957" s="12"/>
      <c r="G1957" s="12"/>
      <c r="H1957" s="12"/>
      <c r="I1957" s="13">
        <v>1</v>
      </c>
      <c r="J1957" s="13">
        <v>0</v>
      </c>
      <c r="K1957" s="14" t="str">
        <f t="shared" ref="K1957:K1958" si="339">HYPERLINK("http://twitter.com","Twitter Web Client")</f>
        <v>Twitter Web Client</v>
      </c>
      <c r="L1957" s="13">
        <v>33</v>
      </c>
      <c r="M1957" s="13">
        <v>363</v>
      </c>
      <c r="N1957" s="13">
        <v>2</v>
      </c>
      <c r="O1957" s="15"/>
      <c r="P1957" s="6">
        <v>42961.981458333335</v>
      </c>
      <c r="Q1957" s="16" t="s">
        <v>6768</v>
      </c>
      <c r="R1957" s="17" t="s">
        <v>6769</v>
      </c>
      <c r="S1957" s="11" t="s">
        <v>6770</v>
      </c>
      <c r="T1957" s="12"/>
      <c r="U1957" s="10" t="str">
        <f>HYPERLINK("https://pbs.twimg.com/profile_images/1061316668952055808/uYdvh1AN.jpg","View")</f>
        <v>View</v>
      </c>
    </row>
    <row r="1958" spans="1:21" ht="20.399999999999999">
      <c r="A1958" s="6">
        <v>43436.980034722219</v>
      </c>
      <c r="B1958" s="7" t="str">
        <f>HYPERLINK("https://twitter.com/McTetita","@McTetita")</f>
        <v>@McTetita</v>
      </c>
      <c r="C1958" s="8" t="s">
        <v>6524</v>
      </c>
      <c r="D1958" s="9" t="s">
        <v>6771</v>
      </c>
      <c r="E1958" s="10" t="str">
        <f>HYPERLINK("https://twitter.com/McTetita/status/1069358359739068416","1069358359739068416")</f>
        <v>1069358359739068416</v>
      </c>
      <c r="F1958" s="12"/>
      <c r="G1958" s="12"/>
      <c r="H1958" s="12"/>
      <c r="I1958" s="13">
        <v>1</v>
      </c>
      <c r="J1958" s="13">
        <v>1</v>
      </c>
      <c r="K1958" s="14" t="str">
        <f t="shared" si="339"/>
        <v>Twitter Web Client</v>
      </c>
      <c r="L1958" s="13">
        <v>307</v>
      </c>
      <c r="M1958" s="13">
        <v>192</v>
      </c>
      <c r="N1958" s="13">
        <v>2</v>
      </c>
      <c r="O1958" s="15"/>
      <c r="P1958" s="6">
        <v>41042.708333333336</v>
      </c>
      <c r="Q1958" s="12"/>
      <c r="R1958" s="17" t="s">
        <v>6772</v>
      </c>
      <c r="S1958" s="12"/>
      <c r="T1958" s="12"/>
      <c r="U1958" s="10" t="str">
        <f>HYPERLINK("https://pbs.twimg.com/profile_images/914148840231620609/ECiF9baL.jpg","View")</f>
        <v>View</v>
      </c>
    </row>
    <row r="1959" spans="1:21" ht="51">
      <c r="A1959" s="6">
        <v>43436.979988425926</v>
      </c>
      <c r="B1959" s="7" t="str">
        <f>HYPERLINK("https://twitter.com/Nine_Stories","@Nine_Stories")</f>
        <v>@Nine_Stories</v>
      </c>
      <c r="C1959" s="8" t="s">
        <v>6773</v>
      </c>
      <c r="D1959" s="9" t="s">
        <v>6774</v>
      </c>
      <c r="E1959" s="10" t="str">
        <f>HYPERLINK("https://twitter.com/Nine_Stories/status/1069358344203321345","1069358344203321345")</f>
        <v>1069358344203321345</v>
      </c>
      <c r="F1959" s="12"/>
      <c r="G1959" s="12"/>
      <c r="H1959" s="12"/>
      <c r="I1959" s="13">
        <v>0</v>
      </c>
      <c r="J1959" s="13">
        <v>11</v>
      </c>
      <c r="K1959" s="14" t="str">
        <f>HYPERLINK("http://twitter.com/download/iphone","Twitter for iPhone")</f>
        <v>Twitter for iPhone</v>
      </c>
      <c r="L1959" s="13">
        <v>2164</v>
      </c>
      <c r="M1959" s="13">
        <v>792</v>
      </c>
      <c r="N1959" s="13">
        <v>68</v>
      </c>
      <c r="O1959" s="15"/>
      <c r="P1959" s="6">
        <v>39961.010648148149</v>
      </c>
      <c r="Q1959" s="16" t="s">
        <v>191</v>
      </c>
      <c r="R1959" s="17" t="s">
        <v>6775</v>
      </c>
      <c r="S1959" s="11" t="s">
        <v>6776</v>
      </c>
      <c r="T1959" s="12"/>
      <c r="U1959" s="10" t="str">
        <f>HYPERLINK("https://pbs.twimg.com/profile_images/939313343638200321/q1OD5Kuu.jpg","View")</f>
        <v>View</v>
      </c>
    </row>
    <row r="1960" spans="1:21" ht="40.799999999999997">
      <c r="A1960" s="6">
        <v>43436.979976851857</v>
      </c>
      <c r="B1960" s="7" t="str">
        <f>HYPERLINK("https://twitter.com/juande93","@juande93")</f>
        <v>@juande93</v>
      </c>
      <c r="C1960" s="8" t="s">
        <v>6777</v>
      </c>
      <c r="D1960" s="9" t="s">
        <v>6778</v>
      </c>
      <c r="E1960" s="10" t="str">
        <f>HYPERLINK("https://twitter.com/juande93/status/1069358338536820736","1069358338536820736")</f>
        <v>1069358338536820736</v>
      </c>
      <c r="F1960" s="12"/>
      <c r="G1960" s="11" t="s">
        <v>6779</v>
      </c>
      <c r="H1960" s="12"/>
      <c r="I1960" s="13">
        <v>7</v>
      </c>
      <c r="J1960" s="13">
        <v>16</v>
      </c>
      <c r="K1960" s="14" t="str">
        <f>HYPERLINK("http://twitter.com","Twitter Web Client")</f>
        <v>Twitter Web Client</v>
      </c>
      <c r="L1960" s="13">
        <v>10101</v>
      </c>
      <c r="M1960" s="13">
        <v>6560</v>
      </c>
      <c r="N1960" s="13">
        <v>116</v>
      </c>
      <c r="O1960" s="15"/>
      <c r="P1960" s="6">
        <v>39986.737974537034</v>
      </c>
      <c r="Q1960" s="16" t="s">
        <v>6780</v>
      </c>
      <c r="R1960" s="17" t="s">
        <v>6781</v>
      </c>
      <c r="S1960" s="12"/>
      <c r="T1960" s="12"/>
      <c r="U1960" s="10" t="str">
        <f>HYPERLINK("https://pbs.twimg.com/profile_images/881428329454333952/F0U_5FK4.jpg","View")</f>
        <v>View</v>
      </c>
    </row>
    <row r="1961" spans="1:21" ht="20.399999999999999">
      <c r="A1961" s="6">
        <v>43436.979965277773</v>
      </c>
      <c r="B1961" s="7" t="str">
        <f>HYPERLINK("https://twitter.com/jordiiplana","@jordiiplana")</f>
        <v>@jordiiplana</v>
      </c>
      <c r="C1961" s="8" t="s">
        <v>6782</v>
      </c>
      <c r="D1961" s="9" t="s">
        <v>6783</v>
      </c>
      <c r="E1961" s="10" t="str">
        <f>HYPERLINK("https://twitter.com/jordiiplana/status/1069358334262820869","1069358334262820869")</f>
        <v>1069358334262820869</v>
      </c>
      <c r="F1961" s="12"/>
      <c r="G1961" s="12"/>
      <c r="H1961" s="12"/>
      <c r="I1961" s="13">
        <v>0</v>
      </c>
      <c r="J1961" s="13">
        <v>1</v>
      </c>
      <c r="K1961" s="14" t="str">
        <f t="shared" ref="K1961:K1963" si="340">HYPERLINK("http://twitter.com/download/android","Twitter for Android")</f>
        <v>Twitter for Android</v>
      </c>
      <c r="L1961" s="13">
        <v>289</v>
      </c>
      <c r="M1961" s="13">
        <v>699</v>
      </c>
      <c r="N1961" s="13">
        <v>5</v>
      </c>
      <c r="O1961" s="15"/>
      <c r="P1961" s="6">
        <v>42268.558738425927</v>
      </c>
      <c r="Q1961" s="16" t="s">
        <v>6784</v>
      </c>
      <c r="R1961" s="17" t="s">
        <v>6785</v>
      </c>
      <c r="S1961" s="12"/>
      <c r="T1961" s="12"/>
      <c r="U1961" s="10" t="str">
        <f>HYPERLINK("https://pbs.twimg.com/profile_images/1069715717606596608/lLWZQhun.jpg","View")</f>
        <v>View</v>
      </c>
    </row>
    <row r="1962" spans="1:21" ht="30.6">
      <c r="A1962" s="6">
        <v>43436.979895833334</v>
      </c>
      <c r="B1962" s="7" t="str">
        <f>HYPERLINK("https://twitter.com/carlosfh_1996","@carlosfh_1996")</f>
        <v>@carlosfh_1996</v>
      </c>
      <c r="C1962" s="8" t="s">
        <v>6786</v>
      </c>
      <c r="D1962" s="9" t="s">
        <v>6787</v>
      </c>
      <c r="E1962" s="10" t="str">
        <f>HYPERLINK("https://twitter.com/carlosfh_1996/status/1069358309696839685","1069358309696839685")</f>
        <v>1069358309696839685</v>
      </c>
      <c r="F1962" s="12"/>
      <c r="G1962" s="12"/>
      <c r="H1962" s="12"/>
      <c r="I1962" s="13">
        <v>0</v>
      </c>
      <c r="J1962" s="13">
        <v>2</v>
      </c>
      <c r="K1962" s="14" t="str">
        <f t="shared" si="340"/>
        <v>Twitter for Android</v>
      </c>
      <c r="L1962" s="13">
        <v>1429</v>
      </c>
      <c r="M1962" s="13">
        <v>829</v>
      </c>
      <c r="N1962" s="13">
        <v>9</v>
      </c>
      <c r="O1962" s="15"/>
      <c r="P1962" s="6">
        <v>40473.679247685184</v>
      </c>
      <c r="Q1962" s="16" t="s">
        <v>6788</v>
      </c>
      <c r="R1962" s="17" t="s">
        <v>6789</v>
      </c>
      <c r="S1962" s="12"/>
      <c r="T1962" s="12"/>
      <c r="U1962" s="10" t="str">
        <f>HYPERLINK("https://pbs.twimg.com/profile_images/1064426266483453957/iVi7GVnj.jpg","View")</f>
        <v>View</v>
      </c>
    </row>
    <row r="1963" spans="1:21" ht="30.6">
      <c r="A1963" s="6">
        <v>43436.979884259257</v>
      </c>
      <c r="B1963" s="7" t="str">
        <f>HYPERLINK("https://twitter.com/Aclnari","@Aclnari")</f>
        <v>@Aclnari</v>
      </c>
      <c r="C1963" s="8" t="s">
        <v>6790</v>
      </c>
      <c r="D1963" s="9" t="s">
        <v>6791</v>
      </c>
      <c r="E1963" s="10" t="str">
        <f>HYPERLINK("https://twitter.com/Aclnari/status/1069358305921912833","1069358305921912833")</f>
        <v>1069358305921912833</v>
      </c>
      <c r="F1963" s="12"/>
      <c r="G1963" s="12"/>
      <c r="H1963" s="12"/>
      <c r="I1963" s="13">
        <v>0</v>
      </c>
      <c r="J1963" s="13">
        <v>0</v>
      </c>
      <c r="K1963" s="14" t="str">
        <f t="shared" si="340"/>
        <v>Twitter for Android</v>
      </c>
      <c r="L1963" s="13">
        <v>80</v>
      </c>
      <c r="M1963" s="13">
        <v>248</v>
      </c>
      <c r="N1963" s="13">
        <v>3</v>
      </c>
      <c r="O1963" s="15"/>
      <c r="P1963" s="6">
        <v>40743.05327546296</v>
      </c>
      <c r="Q1963" s="12"/>
      <c r="R1963" s="17" t="s">
        <v>6792</v>
      </c>
      <c r="S1963" s="12"/>
      <c r="T1963" s="12"/>
      <c r="U1963" s="10" t="str">
        <f>HYPERLINK("https://pbs.twimg.com/profile_images/1769759395/Liverbird_avatar.jpg","View")</f>
        <v>View</v>
      </c>
    </row>
    <row r="1964" spans="1:21" ht="30.6">
      <c r="A1964" s="6">
        <v>43436.979872685188</v>
      </c>
      <c r="B1964" s="7" t="str">
        <f>HYPERLINK("https://twitter.com/JaviManzanoG","@JaviManzanoG")</f>
        <v>@JaviManzanoG</v>
      </c>
      <c r="C1964" s="8" t="s">
        <v>5840</v>
      </c>
      <c r="D1964" s="9" t="s">
        <v>6793</v>
      </c>
      <c r="E1964" s="10" t="str">
        <f>HYPERLINK("https://twitter.com/JaviManzanoG/status/1069358303099129857","1069358303099129857")</f>
        <v>1069358303099129857</v>
      </c>
      <c r="F1964" s="12"/>
      <c r="G1964" s="12"/>
      <c r="H1964" s="12"/>
      <c r="I1964" s="13">
        <v>0</v>
      </c>
      <c r="J1964" s="13">
        <v>0</v>
      </c>
      <c r="K1964" s="14" t="str">
        <f>HYPERLINK("http://twitter.com","Twitter Web Client")</f>
        <v>Twitter Web Client</v>
      </c>
      <c r="L1964" s="13">
        <v>38</v>
      </c>
      <c r="M1964" s="13">
        <v>65</v>
      </c>
      <c r="N1964" s="13">
        <v>1</v>
      </c>
      <c r="O1964" s="15"/>
      <c r="P1964" s="6">
        <v>41086.879432870366</v>
      </c>
      <c r="Q1964" s="16" t="s">
        <v>191</v>
      </c>
      <c r="R1964" s="20"/>
      <c r="S1964" s="12"/>
      <c r="T1964" s="12"/>
      <c r="U1964" s="10" t="str">
        <f>HYPERLINK("https://pbs.twimg.com/profile_images/1060234520186765313/1lq2aiiM.jpg","View")</f>
        <v>View</v>
      </c>
    </row>
    <row r="1965" spans="1:21" ht="20.399999999999999">
      <c r="A1965" s="6">
        <v>43436.979849537034</v>
      </c>
      <c r="B1965" s="7" t="str">
        <f>HYPERLINK("https://twitter.com/VillaverdeMu","@VillaverdeMu")</f>
        <v>@VillaverdeMu</v>
      </c>
      <c r="C1965" s="8" t="s">
        <v>6794</v>
      </c>
      <c r="D1965" s="9" t="s">
        <v>6795</v>
      </c>
      <c r="E1965" s="10" t="str">
        <f>HYPERLINK("https://twitter.com/VillaverdeMu/status/1069358295360655360","1069358295360655360")</f>
        <v>1069358295360655360</v>
      </c>
      <c r="F1965" s="12"/>
      <c r="G1965" s="12"/>
      <c r="H1965" s="12"/>
      <c r="I1965" s="13">
        <v>2</v>
      </c>
      <c r="J1965" s="13">
        <v>3</v>
      </c>
      <c r="K1965" s="14" t="str">
        <f t="shared" ref="K1965:K1967" si="341">HYPERLINK("http://twitter.com/download/android","Twitter for Android")</f>
        <v>Twitter for Android</v>
      </c>
      <c r="L1965" s="13">
        <v>338</v>
      </c>
      <c r="M1965" s="13">
        <v>621</v>
      </c>
      <c r="N1965" s="13">
        <v>1</v>
      </c>
      <c r="O1965" s="15"/>
      <c r="P1965" s="6">
        <v>42897.022974537038</v>
      </c>
      <c r="Q1965" s="16" t="s">
        <v>80</v>
      </c>
      <c r="R1965" s="17" t="s">
        <v>6796</v>
      </c>
      <c r="S1965" s="12"/>
      <c r="T1965" s="12"/>
      <c r="U1965" s="10" t="str">
        <f>HYPERLINK("https://pbs.twimg.com/profile_images/1070100565433167874/-eDIKFZh.jpg","View")</f>
        <v>View</v>
      </c>
    </row>
    <row r="1966" spans="1:21" ht="20.399999999999999">
      <c r="A1966" s="6">
        <v>43436.979837962965</v>
      </c>
      <c r="B1966" s="7" t="str">
        <f>HYPERLINK("https://twitter.com/CucaCupi","@CucaCupi")</f>
        <v>@CucaCupi</v>
      </c>
      <c r="C1966" s="8" t="s">
        <v>6797</v>
      </c>
      <c r="D1966" s="9" t="s">
        <v>6798</v>
      </c>
      <c r="E1966" s="10" t="str">
        <f>HYPERLINK("https://twitter.com/CucaCupi/status/1069358289371189249","1069358289371189249")</f>
        <v>1069358289371189249</v>
      </c>
      <c r="F1966" s="12"/>
      <c r="G1966" s="12"/>
      <c r="H1966" s="12"/>
      <c r="I1966" s="13">
        <v>1</v>
      </c>
      <c r="J1966" s="13">
        <v>1</v>
      </c>
      <c r="K1966" s="14" t="str">
        <f t="shared" si="341"/>
        <v>Twitter for Android</v>
      </c>
      <c r="L1966" s="13">
        <v>552</v>
      </c>
      <c r="M1966" s="13">
        <v>636</v>
      </c>
      <c r="N1966" s="13">
        <v>7</v>
      </c>
      <c r="O1966" s="15"/>
      <c r="P1966" s="6">
        <v>41032.867476851854</v>
      </c>
      <c r="Q1966" s="16" t="s">
        <v>735</v>
      </c>
      <c r="R1966" s="17" t="s">
        <v>6799</v>
      </c>
      <c r="S1966" s="12"/>
      <c r="T1966" s="12"/>
      <c r="U1966" s="10" t="str">
        <f>HYPERLINK("https://pbs.twimg.com/profile_images/1023627658393989120/wbsE-vsp.jpg","View")</f>
        <v>View</v>
      </c>
    </row>
    <row r="1967" spans="1:21" ht="30.6">
      <c r="A1967" s="6">
        <v>43436.979837962965</v>
      </c>
      <c r="B1967" s="7" t="str">
        <f>HYPERLINK("https://twitter.com/AndreaRodrimon","@AndreaRodrimon")</f>
        <v>@AndreaRodrimon</v>
      </c>
      <c r="C1967" s="8" t="s">
        <v>1373</v>
      </c>
      <c r="D1967" s="9" t="s">
        <v>6800</v>
      </c>
      <c r="E1967" s="10" t="str">
        <f>HYPERLINK("https://twitter.com/AndreaRodrimon/status/1069358287848644609","1069358287848644609")</f>
        <v>1069358287848644609</v>
      </c>
      <c r="F1967" s="12"/>
      <c r="G1967" s="12"/>
      <c r="H1967" s="12"/>
      <c r="I1967" s="13">
        <v>0</v>
      </c>
      <c r="J1967" s="13">
        <v>1</v>
      </c>
      <c r="K1967" s="14" t="str">
        <f t="shared" si="341"/>
        <v>Twitter for Android</v>
      </c>
      <c r="L1967" s="13">
        <v>515</v>
      </c>
      <c r="M1967" s="13">
        <v>859</v>
      </c>
      <c r="N1967" s="13">
        <v>24</v>
      </c>
      <c r="O1967" s="15"/>
      <c r="P1967" s="6">
        <v>40468.22184027778</v>
      </c>
      <c r="Q1967" s="16" t="s">
        <v>1376</v>
      </c>
      <c r="R1967" s="17" t="s">
        <v>1377</v>
      </c>
      <c r="S1967" s="12"/>
      <c r="T1967" s="12"/>
      <c r="U1967" s="10" t="str">
        <f>HYPERLINK("https://pbs.twimg.com/profile_images/960821668313739264/SIsuQVRk.jpg","View")</f>
        <v>View</v>
      </c>
    </row>
    <row r="1968" spans="1:21" ht="30.6">
      <c r="A1968" s="6">
        <v>43436.979803240742</v>
      </c>
      <c r="B1968" s="7" t="str">
        <f>HYPERLINK("https://twitter.com/Rochista9","@Rochista9")</f>
        <v>@Rochista9</v>
      </c>
      <c r="C1968" s="8" t="s">
        <v>6801</v>
      </c>
      <c r="D1968" s="9" t="s">
        <v>6802</v>
      </c>
      <c r="E1968" s="10" t="str">
        <f>HYPERLINK("https://twitter.com/Rochista9/status/1069358275295096834","1069358275295096834")</f>
        <v>1069358275295096834</v>
      </c>
      <c r="F1968" s="12"/>
      <c r="G1968" s="12"/>
      <c r="H1968" s="12"/>
      <c r="I1968" s="13">
        <v>0</v>
      </c>
      <c r="J1968" s="13">
        <v>6</v>
      </c>
      <c r="K1968" s="14" t="str">
        <f>HYPERLINK("http://twitter.com/download/iphone","Twitter for iPhone")</f>
        <v>Twitter for iPhone</v>
      </c>
      <c r="L1968" s="13">
        <v>769</v>
      </c>
      <c r="M1968" s="13">
        <v>392</v>
      </c>
      <c r="N1968" s="13">
        <v>12</v>
      </c>
      <c r="O1968" s="15"/>
      <c r="P1968" s="6">
        <v>40445.837916666671</v>
      </c>
      <c r="Q1968" s="16" t="s">
        <v>1075</v>
      </c>
      <c r="R1968" s="17" t="s">
        <v>6803</v>
      </c>
      <c r="S1968" s="12"/>
      <c r="T1968" s="12"/>
      <c r="U1968" s="10" t="str">
        <f>HYPERLINK("https://pbs.twimg.com/profile_images/1070329349176467457/uMpb-wp5.jpg","View")</f>
        <v>View</v>
      </c>
    </row>
    <row r="1969" spans="1:21" ht="13.2">
      <c r="A1969" s="6">
        <v>43436.979780092588</v>
      </c>
      <c r="B1969" s="7" t="str">
        <f>HYPERLINK("https://twitter.com/Ateoconsecuente","@Ateoconsecuente")</f>
        <v>@Ateoconsecuente</v>
      </c>
      <c r="C1969" s="8" t="s">
        <v>6804</v>
      </c>
      <c r="D1969" s="9" t="s">
        <v>6805</v>
      </c>
      <c r="E1969" s="10" t="str">
        <f>HYPERLINK("https://twitter.com/Ateoconsecuente/status/1069358269582532610","1069358269582532610")</f>
        <v>1069358269582532610</v>
      </c>
      <c r="F1969" s="12"/>
      <c r="G1969" s="11" t="s">
        <v>6806</v>
      </c>
      <c r="H1969" s="12"/>
      <c r="I1969" s="13">
        <v>0</v>
      </c>
      <c r="J1969" s="13">
        <v>1</v>
      </c>
      <c r="K1969" s="14" t="str">
        <f t="shared" ref="K1969:K1970" si="342">HYPERLINK("http://twitter.com","Twitter Web Client")</f>
        <v>Twitter Web Client</v>
      </c>
      <c r="L1969" s="13">
        <v>2111</v>
      </c>
      <c r="M1969" s="13">
        <v>780</v>
      </c>
      <c r="N1969" s="13">
        <v>25</v>
      </c>
      <c r="O1969" s="15"/>
      <c r="P1969" s="6">
        <v>41213.75613425926</v>
      </c>
      <c r="Q1969" s="12"/>
      <c r="R1969" s="17" t="s">
        <v>6807</v>
      </c>
      <c r="S1969" s="12"/>
      <c r="T1969" s="12"/>
      <c r="U1969" s="10" t="str">
        <f>HYPERLINK("https://pbs.twimg.com/profile_images/900790516106747905/U_85MyU-.jpg","View")</f>
        <v>View</v>
      </c>
    </row>
    <row r="1970" spans="1:21" ht="13.2">
      <c r="A1970" s="6">
        <v>43436.979756944449</v>
      </c>
      <c r="B1970" s="7" t="str">
        <f>HYPERLINK("https://twitter.com/super_tupper","@super_tupper")</f>
        <v>@super_tupper</v>
      </c>
      <c r="C1970" s="8" t="s">
        <v>2989</v>
      </c>
      <c r="D1970" s="9" t="s">
        <v>6808</v>
      </c>
      <c r="E1970" s="10" t="str">
        <f>HYPERLINK("https://twitter.com/super_tupper/status/1069358259801399296","1069358259801399296")</f>
        <v>1069358259801399296</v>
      </c>
      <c r="F1970" s="12"/>
      <c r="G1970" s="12"/>
      <c r="H1970" s="12"/>
      <c r="I1970" s="13">
        <v>0</v>
      </c>
      <c r="J1970" s="13">
        <v>0</v>
      </c>
      <c r="K1970" s="14" t="str">
        <f t="shared" si="342"/>
        <v>Twitter Web Client</v>
      </c>
      <c r="L1970" s="13">
        <v>521</v>
      </c>
      <c r="M1970" s="13">
        <v>592</v>
      </c>
      <c r="N1970" s="13">
        <v>19</v>
      </c>
      <c r="O1970" s="15"/>
      <c r="P1970" s="6">
        <v>40283.871111111112</v>
      </c>
      <c r="Q1970" s="16" t="s">
        <v>6708</v>
      </c>
      <c r="R1970" s="17" t="s">
        <v>6809</v>
      </c>
      <c r="S1970" s="12"/>
      <c r="T1970" s="12"/>
      <c r="U1970" s="10" t="str">
        <f>HYPERLINK("https://pbs.twimg.com/profile_images/1070433098884636672/XHTGbVFC.jpg","View")</f>
        <v>View</v>
      </c>
    </row>
    <row r="1971" spans="1:21" ht="13.2">
      <c r="A1971" s="6">
        <v>43436.979733796295</v>
      </c>
      <c r="B1971" s="7" t="str">
        <f>HYPERLINK("https://twitter.com/villen97","@villen97")</f>
        <v>@villen97</v>
      </c>
      <c r="C1971" s="8" t="s">
        <v>6810</v>
      </c>
      <c r="D1971" s="9" t="s">
        <v>6811</v>
      </c>
      <c r="E1971" s="10" t="str">
        <f>HYPERLINK("https://twitter.com/villen97/status/1069358251647672321","1069358251647672321")</f>
        <v>1069358251647672321</v>
      </c>
      <c r="F1971" s="12"/>
      <c r="G1971" s="12"/>
      <c r="H1971" s="12"/>
      <c r="I1971" s="13">
        <v>0</v>
      </c>
      <c r="J1971" s="13">
        <v>1</v>
      </c>
      <c r="K1971" s="14" t="str">
        <f t="shared" ref="K1971:K1973" si="343">HYPERLINK("http://twitter.com/download/iphone","Twitter for iPhone")</f>
        <v>Twitter for iPhone</v>
      </c>
      <c r="L1971" s="13">
        <v>549</v>
      </c>
      <c r="M1971" s="13">
        <v>539</v>
      </c>
      <c r="N1971" s="13">
        <v>5</v>
      </c>
      <c r="O1971" s="15"/>
      <c r="P1971" s="6">
        <v>41280.747199074074</v>
      </c>
      <c r="Q1971" s="16" t="s">
        <v>6812</v>
      </c>
      <c r="R1971" s="17" t="s">
        <v>6813</v>
      </c>
      <c r="S1971" s="11" t="s">
        <v>6814</v>
      </c>
      <c r="T1971" s="12"/>
      <c r="U1971" s="10" t="str">
        <f>HYPERLINK("https://pbs.twimg.com/profile_images/870945743221268481/BlIj-ByD.jpg","View")</f>
        <v>View</v>
      </c>
    </row>
    <row r="1972" spans="1:21" ht="30.6">
      <c r="A1972" s="6">
        <v>43436.979699074072</v>
      </c>
      <c r="B1972" s="7" t="str">
        <f>HYPERLINK("https://twitter.com/ViktorMedina","@ViktorMedina")</f>
        <v>@ViktorMedina</v>
      </c>
      <c r="C1972" s="8" t="s">
        <v>5913</v>
      </c>
      <c r="D1972" s="9" t="s">
        <v>6815</v>
      </c>
      <c r="E1972" s="10" t="str">
        <f>HYPERLINK("https://twitter.com/ViktorMedina/status/1069358240218132481","1069358240218132481")</f>
        <v>1069358240218132481</v>
      </c>
      <c r="F1972" s="12"/>
      <c r="G1972" s="12"/>
      <c r="H1972" s="12"/>
      <c r="I1972" s="13">
        <v>0</v>
      </c>
      <c r="J1972" s="13">
        <v>15</v>
      </c>
      <c r="K1972" s="14" t="str">
        <f t="shared" si="343"/>
        <v>Twitter for iPhone</v>
      </c>
      <c r="L1972" s="13">
        <v>2138</v>
      </c>
      <c r="M1972" s="13">
        <v>1397</v>
      </c>
      <c r="N1972" s="13">
        <v>41</v>
      </c>
      <c r="O1972" s="15"/>
      <c r="P1972" s="6">
        <v>40129.535636574074</v>
      </c>
      <c r="Q1972" s="16" t="s">
        <v>5915</v>
      </c>
      <c r="R1972" s="17" t="s">
        <v>5916</v>
      </c>
      <c r="S1972" s="11" t="s">
        <v>5917</v>
      </c>
      <c r="T1972" s="12"/>
      <c r="U1972" s="10" t="str">
        <f>HYPERLINK("https://pbs.twimg.com/profile_images/1053182543070146560/u1O3tppn.jpg","View")</f>
        <v>View</v>
      </c>
    </row>
    <row r="1973" spans="1:21" ht="30.6">
      <c r="A1973" s="6">
        <v>43436.979699074072</v>
      </c>
      <c r="B1973" s="7" t="str">
        <f>HYPERLINK("https://twitter.com/PeioHR","@PeioHR")</f>
        <v>@PeioHR</v>
      </c>
      <c r="C1973" s="8" t="s">
        <v>5514</v>
      </c>
      <c r="D1973" s="9" t="s">
        <v>6816</v>
      </c>
      <c r="E1973" s="10" t="str">
        <f>HYPERLINK("https://twitter.com/PeioHR/status/1069358238355857408","1069358238355857408")</f>
        <v>1069358238355857408</v>
      </c>
      <c r="F1973" s="12"/>
      <c r="G1973" s="11" t="s">
        <v>6817</v>
      </c>
      <c r="H1973" s="12"/>
      <c r="I1973" s="13">
        <v>2</v>
      </c>
      <c r="J1973" s="13">
        <v>5</v>
      </c>
      <c r="K1973" s="14" t="str">
        <f t="shared" si="343"/>
        <v>Twitter for iPhone</v>
      </c>
      <c r="L1973" s="13">
        <v>12362</v>
      </c>
      <c r="M1973" s="13">
        <v>497</v>
      </c>
      <c r="N1973" s="13">
        <v>360</v>
      </c>
      <c r="O1973" s="15"/>
      <c r="P1973" s="6">
        <v>41008.866805555554</v>
      </c>
      <c r="Q1973" s="12"/>
      <c r="R1973" s="17" t="s">
        <v>5517</v>
      </c>
      <c r="S1973" s="12"/>
      <c r="T1973" s="12"/>
      <c r="U1973" s="10" t="str">
        <f>HYPERLINK("https://pbs.twimg.com/profile_images/1014228137348091905/Abb9Iab3.jpg","View")</f>
        <v>View</v>
      </c>
    </row>
    <row r="1974" spans="1:21" ht="20.399999999999999">
      <c r="A1974" s="6">
        <v>43436.979675925926</v>
      </c>
      <c r="B1974" s="7" t="str">
        <f>HYPERLINK("https://twitter.com/Lexucristo","@Lexucristo")</f>
        <v>@Lexucristo</v>
      </c>
      <c r="C1974" s="8" t="s">
        <v>6818</v>
      </c>
      <c r="D1974" s="9" t="s">
        <v>6819</v>
      </c>
      <c r="E1974" s="10" t="str">
        <f>HYPERLINK("https://twitter.com/Lexucristo/status/1069358231544307712","1069358231544307712")</f>
        <v>1069358231544307712</v>
      </c>
      <c r="F1974" s="12"/>
      <c r="G1974" s="11" t="s">
        <v>6820</v>
      </c>
      <c r="H1974" s="12"/>
      <c r="I1974" s="13">
        <v>1</v>
      </c>
      <c r="J1974" s="13">
        <v>10</v>
      </c>
      <c r="K1974" s="14" t="str">
        <f t="shared" ref="K1974:K1975" si="344">HYPERLINK("http://twitter.com","Twitter Web Client")</f>
        <v>Twitter Web Client</v>
      </c>
      <c r="L1974" s="13">
        <v>298</v>
      </c>
      <c r="M1974" s="13">
        <v>103</v>
      </c>
      <c r="N1974" s="13">
        <v>17</v>
      </c>
      <c r="O1974" s="15"/>
      <c r="P1974" s="6">
        <v>41324.060567129629</v>
      </c>
      <c r="Q1974" s="16" t="s">
        <v>6821</v>
      </c>
      <c r="R1974" s="17" t="s">
        <v>6822</v>
      </c>
      <c r="S1974" s="11" t="s">
        <v>6823</v>
      </c>
      <c r="T1974" s="12"/>
      <c r="U1974" s="10" t="str">
        <f>HYPERLINK("https://pbs.twimg.com/profile_images/1065607035289563136/NNfj-aRb.jpg","View")</f>
        <v>View</v>
      </c>
    </row>
    <row r="1975" spans="1:21" ht="30.6">
      <c r="A1975" s="6">
        <v>43436.979664351849</v>
      </c>
      <c r="B1975" s="7" t="str">
        <f>HYPERLINK("https://twitter.com/_rauluson","@_rauluson")</f>
        <v>@_rauluson</v>
      </c>
      <c r="C1975" s="8" t="s">
        <v>6758</v>
      </c>
      <c r="D1975" s="9" t="s">
        <v>6824</v>
      </c>
      <c r="E1975" s="10" t="str">
        <f>HYPERLINK("https://twitter.com/_rauluson/status/1069358227891126272","1069358227891126272")</f>
        <v>1069358227891126272</v>
      </c>
      <c r="F1975" s="12"/>
      <c r="G1975" s="12"/>
      <c r="H1975" s="12"/>
      <c r="I1975" s="13">
        <v>0</v>
      </c>
      <c r="J1975" s="13">
        <v>0</v>
      </c>
      <c r="K1975" s="14" t="str">
        <f t="shared" si="344"/>
        <v>Twitter Web Client</v>
      </c>
      <c r="L1975" s="13">
        <v>492</v>
      </c>
      <c r="M1975" s="13">
        <v>442</v>
      </c>
      <c r="N1975" s="13">
        <v>3</v>
      </c>
      <c r="O1975" s="15"/>
      <c r="P1975" s="6">
        <v>40765.906319444446</v>
      </c>
      <c r="Q1975" s="16" t="s">
        <v>6761</v>
      </c>
      <c r="R1975" s="17" t="s">
        <v>6762</v>
      </c>
      <c r="S1975" s="12"/>
      <c r="T1975" s="12"/>
      <c r="U1975" s="10" t="str">
        <f>HYPERLINK("https://pbs.twimg.com/profile_images/867637467251429377/ViWQIJGb.jpg","View")</f>
        <v>View</v>
      </c>
    </row>
    <row r="1976" spans="1:21" ht="40.799999999999997">
      <c r="A1976" s="6">
        <v>43436.979664351849</v>
      </c>
      <c r="B1976" s="7" t="str">
        <f>HYPERLINK("https://twitter.com/protestona1","@protestona1")</f>
        <v>@protestona1</v>
      </c>
      <c r="C1976" s="8" t="s">
        <v>732</v>
      </c>
      <c r="D1976" s="9" t="s">
        <v>6825</v>
      </c>
      <c r="E1976" s="10" t="str">
        <f>HYPERLINK("https://twitter.com/protestona1/status/1069358224783147008","1069358224783147008")</f>
        <v>1069358224783147008</v>
      </c>
      <c r="F1976" s="12"/>
      <c r="G1976" s="11" t="s">
        <v>5535</v>
      </c>
      <c r="H1976" s="12"/>
      <c r="I1976" s="13">
        <v>157</v>
      </c>
      <c r="J1976" s="13">
        <v>253</v>
      </c>
      <c r="K1976" s="14" t="str">
        <f>HYPERLINK("http://twitter.com/download/iphone","Twitter for iPhone")</f>
        <v>Twitter for iPhone</v>
      </c>
      <c r="L1976" s="13">
        <v>151624</v>
      </c>
      <c r="M1976" s="13">
        <v>2214</v>
      </c>
      <c r="N1976" s="13">
        <v>810</v>
      </c>
      <c r="O1976" s="15"/>
      <c r="P1976" s="6">
        <v>41352.82136574074</v>
      </c>
      <c r="Q1976" s="16" t="s">
        <v>735</v>
      </c>
      <c r="R1976" s="17" t="s">
        <v>736</v>
      </c>
      <c r="S1976" s="11" t="s">
        <v>737</v>
      </c>
      <c r="T1976" s="12"/>
      <c r="U1976" s="10" t="str">
        <f>HYPERLINK("https://pbs.twimg.com/profile_images/1067148427048423431/NQxeU_SX.jpg","View")</f>
        <v>View</v>
      </c>
    </row>
    <row r="1977" spans="1:21" ht="51">
      <c r="A1977" s="6">
        <v>43436.979618055557</v>
      </c>
      <c r="B1977" s="7" t="str">
        <f>HYPERLINK("https://twitter.com/Sevilla24H","@Sevilla24H")</f>
        <v>@Sevilla24H</v>
      </c>
      <c r="C1977" s="8" t="s">
        <v>2984</v>
      </c>
      <c r="D1977" s="9" t="s">
        <v>6826</v>
      </c>
      <c r="E1977" s="10" t="str">
        <f>HYPERLINK("https://twitter.com/Sevilla24H/status/1069358209444528128","1069358209444528128")</f>
        <v>1069358209444528128</v>
      </c>
      <c r="F1977" s="11" t="s">
        <v>6827</v>
      </c>
      <c r="G1977" s="12"/>
      <c r="H1977" s="12"/>
      <c r="I1977" s="13">
        <v>0</v>
      </c>
      <c r="J1977" s="13">
        <v>0</v>
      </c>
      <c r="K1977" s="14" t="str">
        <f>HYPERLINK("https://ifttt.com","IFTTT")</f>
        <v>IFTTT</v>
      </c>
      <c r="L1977" s="13">
        <v>511</v>
      </c>
      <c r="M1977" s="13">
        <v>750</v>
      </c>
      <c r="N1977" s="13">
        <v>11</v>
      </c>
      <c r="O1977" s="15"/>
      <c r="P1977" s="6">
        <v>41294.599583333329</v>
      </c>
      <c r="Q1977" s="16" t="s">
        <v>1171</v>
      </c>
      <c r="R1977" s="17" t="s">
        <v>2987</v>
      </c>
      <c r="S1977" s="11" t="s">
        <v>2988</v>
      </c>
      <c r="T1977" s="12"/>
      <c r="U1977" s="10" t="str">
        <f>HYPERLINK("https://pbs.twimg.com/profile_images/833777334108975104/fgeZLBXg.jpg","View")</f>
        <v>View</v>
      </c>
    </row>
    <row r="1978" spans="1:21" ht="20.399999999999999">
      <c r="A1978" s="6">
        <v>43436.979583333334</v>
      </c>
      <c r="B1978" s="7" t="str">
        <f>HYPERLINK("https://twitter.com/Chirel64","@Chirel64")</f>
        <v>@Chirel64</v>
      </c>
      <c r="C1978" s="8" t="s">
        <v>6185</v>
      </c>
      <c r="D1978" s="9" t="s">
        <v>6828</v>
      </c>
      <c r="E1978" s="10" t="str">
        <f>HYPERLINK("https://twitter.com/Chirel64/status/1069358197633363968","1069358197633363968")</f>
        <v>1069358197633363968</v>
      </c>
      <c r="F1978" s="12"/>
      <c r="G1978" s="12"/>
      <c r="H1978" s="12"/>
      <c r="I1978" s="13">
        <v>0</v>
      </c>
      <c r="J1978" s="13">
        <v>1</v>
      </c>
      <c r="K1978" s="14" t="str">
        <f>HYPERLINK("http://twitter.com/download/iphone","Twitter for iPhone")</f>
        <v>Twitter for iPhone</v>
      </c>
      <c r="L1978" s="13">
        <v>826</v>
      </c>
      <c r="M1978" s="13">
        <v>641</v>
      </c>
      <c r="N1978" s="13">
        <v>46</v>
      </c>
      <c r="O1978" s="15"/>
      <c r="P1978" s="6">
        <v>40129.538078703699</v>
      </c>
      <c r="Q1978" s="16" t="s">
        <v>6187</v>
      </c>
      <c r="R1978" s="17" t="s">
        <v>6188</v>
      </c>
      <c r="S1978" s="12"/>
      <c r="T1978" s="12"/>
      <c r="U1978" s="10" t="str">
        <f>HYPERLINK("https://pbs.twimg.com/profile_images/920661196394680320/trMQtcwe.jpg","View")</f>
        <v>View</v>
      </c>
    </row>
    <row r="1979" spans="1:21" ht="30.6">
      <c r="A1979" s="6">
        <v>43436.979571759264</v>
      </c>
      <c r="B1979" s="7" t="str">
        <f>HYPERLINK("https://twitter.com/Juandi_90","@Juandi_90")</f>
        <v>@Juandi_90</v>
      </c>
      <c r="C1979" s="8" t="s">
        <v>6829</v>
      </c>
      <c r="D1979" s="9" t="s">
        <v>6830</v>
      </c>
      <c r="E1979" s="10" t="str">
        <f>HYPERLINK("https://twitter.com/Juandi_90/status/1069358190880571393","1069358190880571393")</f>
        <v>1069358190880571393</v>
      </c>
      <c r="F1979" s="12"/>
      <c r="G1979" s="12"/>
      <c r="H1979" s="12"/>
      <c r="I1979" s="13">
        <v>0</v>
      </c>
      <c r="J1979" s="13">
        <v>0</v>
      </c>
      <c r="K1979" s="14" t="str">
        <f t="shared" ref="K1979:K1981" si="345">HYPERLINK("http://twitter.com/download/android","Twitter for Android")</f>
        <v>Twitter for Android</v>
      </c>
      <c r="L1979" s="13">
        <v>126</v>
      </c>
      <c r="M1979" s="13">
        <v>112</v>
      </c>
      <c r="N1979" s="13">
        <v>1</v>
      </c>
      <c r="O1979" s="15"/>
      <c r="P1979" s="6">
        <v>40681.739351851851</v>
      </c>
      <c r="Q1979" s="16" t="s">
        <v>6831</v>
      </c>
      <c r="R1979" s="17" t="s">
        <v>6832</v>
      </c>
      <c r="S1979" s="12"/>
      <c r="T1979" s="12"/>
      <c r="U1979" s="10" t="str">
        <f>HYPERLINK("https://pbs.twimg.com/profile_images/378800000188783076/28c72f49e740b65cb7cbe621f3de3a18.jpeg","View")</f>
        <v>View</v>
      </c>
    </row>
    <row r="1980" spans="1:21" ht="20.399999999999999">
      <c r="A1980" s="6">
        <v>43436.979525462964</v>
      </c>
      <c r="B1980" s="7" t="str">
        <f>HYPERLINK("https://twitter.com/_polmeister","@_polmeister")</f>
        <v>@_polmeister</v>
      </c>
      <c r="C1980" s="8" t="s">
        <v>6833</v>
      </c>
      <c r="D1980" s="9" t="s">
        <v>6834</v>
      </c>
      <c r="E1980" s="10" t="str">
        <f>HYPERLINK("https://twitter.com/_polmeister/status/1069358177597173760","1069358177597173760")</f>
        <v>1069358177597173760</v>
      </c>
      <c r="F1980" s="12"/>
      <c r="G1980" s="12"/>
      <c r="H1980" s="12"/>
      <c r="I1980" s="13">
        <v>0</v>
      </c>
      <c r="J1980" s="13">
        <v>1</v>
      </c>
      <c r="K1980" s="14" t="str">
        <f t="shared" si="345"/>
        <v>Twitter for Android</v>
      </c>
      <c r="L1980" s="13">
        <v>532</v>
      </c>
      <c r="M1980" s="13">
        <v>509</v>
      </c>
      <c r="N1980" s="13">
        <v>8</v>
      </c>
      <c r="O1980" s="15"/>
      <c r="P1980" s="6">
        <v>41217.935578703706</v>
      </c>
      <c r="Q1980" s="16" t="s">
        <v>6835</v>
      </c>
      <c r="R1980" s="17" t="s">
        <v>6836</v>
      </c>
      <c r="S1980" s="11" t="s">
        <v>6837</v>
      </c>
      <c r="T1980" s="12"/>
      <c r="U1980" s="10" t="str">
        <f>HYPERLINK("https://pbs.twimg.com/profile_images/1053957380139040769/83AjEofh.jpg","View")</f>
        <v>View</v>
      </c>
    </row>
    <row r="1981" spans="1:21" ht="13.2">
      <c r="A1981" s="6">
        <v>43436.979502314818</v>
      </c>
      <c r="B1981" s="7" t="str">
        <f>HYPERLINK("https://twitter.com/fernandofaucha","@fernandofaucha")</f>
        <v>@fernandofaucha</v>
      </c>
      <c r="C1981" s="8" t="s">
        <v>6400</v>
      </c>
      <c r="D1981" s="9" t="s">
        <v>6838</v>
      </c>
      <c r="E1981" s="10" t="str">
        <f>HYPERLINK("https://twitter.com/fernandofaucha/status/1069358167988084736","1069358167988084736")</f>
        <v>1069358167988084736</v>
      </c>
      <c r="F1981" s="12"/>
      <c r="G1981" s="12"/>
      <c r="H1981" s="12"/>
      <c r="I1981" s="13">
        <v>0</v>
      </c>
      <c r="J1981" s="13">
        <v>1</v>
      </c>
      <c r="K1981" s="14" t="str">
        <f t="shared" si="345"/>
        <v>Twitter for Android</v>
      </c>
      <c r="L1981" s="13">
        <v>489</v>
      </c>
      <c r="M1981" s="13">
        <v>747</v>
      </c>
      <c r="N1981" s="13">
        <v>15</v>
      </c>
      <c r="O1981" s="15"/>
      <c r="P1981" s="6">
        <v>40647.870127314818</v>
      </c>
      <c r="Q1981" s="16" t="s">
        <v>6402</v>
      </c>
      <c r="R1981" s="17" t="s">
        <v>6403</v>
      </c>
      <c r="S1981" s="12"/>
      <c r="T1981" s="12"/>
      <c r="U1981" s="10" t="str">
        <f>HYPERLINK("https://pbs.twimg.com/profile_images/1064290133816561667/2FezqUgy.jpg","View")</f>
        <v>View</v>
      </c>
    </row>
    <row r="1982" spans="1:21" ht="30.6">
      <c r="A1982" s="6">
        <v>43436.979479166665</v>
      </c>
      <c r="B1982" s="7" t="str">
        <f>HYPERLINK("https://twitter.com/TheClumsyLady","@TheClumsyLady")</f>
        <v>@TheClumsyLady</v>
      </c>
      <c r="C1982" s="8" t="s">
        <v>6839</v>
      </c>
      <c r="D1982" s="9" t="s">
        <v>6840</v>
      </c>
      <c r="E1982" s="10" t="str">
        <f>HYPERLINK("https://twitter.com/TheClumsyLady/status/1069358160836784130","1069358160836784130")</f>
        <v>1069358160836784130</v>
      </c>
      <c r="F1982" s="12"/>
      <c r="G1982" s="12"/>
      <c r="H1982" s="12"/>
      <c r="I1982" s="13">
        <v>0</v>
      </c>
      <c r="J1982" s="13">
        <v>0</v>
      </c>
      <c r="K1982" s="14" t="str">
        <f>HYPERLINK("http://twitter.com","Twitter Web Client")</f>
        <v>Twitter Web Client</v>
      </c>
      <c r="L1982" s="13">
        <v>771</v>
      </c>
      <c r="M1982" s="13">
        <v>634</v>
      </c>
      <c r="N1982" s="13">
        <v>28</v>
      </c>
      <c r="O1982" s="15"/>
      <c r="P1982" s="6">
        <v>40422.867418981477</v>
      </c>
      <c r="Q1982" s="16" t="s">
        <v>6841</v>
      </c>
      <c r="R1982" s="17" t="s">
        <v>6842</v>
      </c>
      <c r="S1982" s="11" t="s">
        <v>6843</v>
      </c>
      <c r="T1982" s="12"/>
      <c r="U1982" s="10" t="str">
        <f>HYPERLINK("https://pbs.twimg.com/profile_images/1024782112350720000/5pj-O6a0.jpg","View")</f>
        <v>View</v>
      </c>
    </row>
    <row r="1983" spans="1:21" ht="40.799999999999997">
      <c r="A1983" s="6">
        <v>43436.979444444441</v>
      </c>
      <c r="B1983" s="7" t="str">
        <f>HYPERLINK("https://twitter.com/MarcLesan","@MarcLesan")</f>
        <v>@MarcLesan</v>
      </c>
      <c r="C1983" s="8" t="s">
        <v>6844</v>
      </c>
      <c r="D1983" s="9" t="s">
        <v>6845</v>
      </c>
      <c r="E1983" s="10" t="str">
        <f>HYPERLINK("https://twitter.com/MarcLesan/status/1069358144600637445","1069358144600637445")</f>
        <v>1069358144600637445</v>
      </c>
      <c r="F1983" s="12"/>
      <c r="G1983" s="12"/>
      <c r="H1983" s="12"/>
      <c r="I1983" s="13">
        <v>0</v>
      </c>
      <c r="J1983" s="13">
        <v>3</v>
      </c>
      <c r="K1983" s="14" t="str">
        <f>HYPERLINK("http://twitter.com/download/android","Twitter for Android")</f>
        <v>Twitter for Android</v>
      </c>
      <c r="L1983" s="13">
        <v>1291</v>
      </c>
      <c r="M1983" s="13">
        <v>768</v>
      </c>
      <c r="N1983" s="13">
        <v>45</v>
      </c>
      <c r="O1983" s="15"/>
      <c r="P1983" s="6">
        <v>42043.074444444443</v>
      </c>
      <c r="Q1983" s="16" t="s">
        <v>6846</v>
      </c>
      <c r="R1983" s="17" t="s">
        <v>6847</v>
      </c>
      <c r="S1983" s="11" t="s">
        <v>6848</v>
      </c>
      <c r="T1983" s="12"/>
      <c r="U1983" s="10" t="str">
        <f>HYPERLINK("https://pbs.twimg.com/profile_images/1066343200393232391/J3dZR8mN.jpg","View")</f>
        <v>View</v>
      </c>
    </row>
    <row r="1984" spans="1:21" ht="30.6">
      <c r="A1984" s="6">
        <v>43436.979398148149</v>
      </c>
      <c r="B1984" s="7" t="str">
        <f>HYPERLINK("https://twitter.com/NievesJemezB","@NievesJemezB")</f>
        <v>@NievesJemezB</v>
      </c>
      <c r="C1984" s="8" t="s">
        <v>2358</v>
      </c>
      <c r="D1984" s="9" t="s">
        <v>6849</v>
      </c>
      <c r="E1984" s="10" t="str">
        <f>HYPERLINK("https://twitter.com/NievesJemezB/status/1069358130054815747","1069358130054815747")</f>
        <v>1069358130054815747</v>
      </c>
      <c r="F1984" s="12"/>
      <c r="G1984" s="12"/>
      <c r="H1984" s="12"/>
      <c r="I1984" s="13">
        <v>0</v>
      </c>
      <c r="J1984" s="13">
        <v>1</v>
      </c>
      <c r="K1984" s="14" t="str">
        <f t="shared" ref="K1984:K1985" si="346">HYPERLINK("http://twitter.com","Twitter Web Client")</f>
        <v>Twitter Web Client</v>
      </c>
      <c r="L1984" s="13">
        <v>1476</v>
      </c>
      <c r="M1984" s="13">
        <v>1430</v>
      </c>
      <c r="N1984" s="13">
        <v>40</v>
      </c>
      <c r="O1984" s="15"/>
      <c r="P1984" s="6">
        <v>41331.81621527778</v>
      </c>
      <c r="Q1984" s="16" t="s">
        <v>2360</v>
      </c>
      <c r="R1984" s="17" t="s">
        <v>2361</v>
      </c>
      <c r="S1984" s="11" t="s">
        <v>2362</v>
      </c>
      <c r="T1984" s="12"/>
      <c r="U1984" s="10" t="str">
        <f>HYPERLINK("https://pbs.twimg.com/profile_images/991727206668931072/FYArZrk1.jpg","View")</f>
        <v>View</v>
      </c>
    </row>
    <row r="1985" spans="1:21" ht="40.799999999999997">
      <c r="A1985" s="6">
        <v>43436.979386574079</v>
      </c>
      <c r="B1985" s="7" t="str">
        <f>HYPERLINK("https://twitter.com/MarioAzofra","@MarioAzofra")</f>
        <v>@MarioAzofra</v>
      </c>
      <c r="C1985" s="8" t="s">
        <v>6850</v>
      </c>
      <c r="D1985" s="9" t="s">
        <v>6851</v>
      </c>
      <c r="E1985" s="10" t="str">
        <f>HYPERLINK("https://twitter.com/MarioAzofra/status/1069358127471099909","1069358127471099909")</f>
        <v>1069358127471099909</v>
      </c>
      <c r="F1985" s="12"/>
      <c r="G1985" s="12"/>
      <c r="H1985" s="12"/>
      <c r="I1985" s="13">
        <v>0</v>
      </c>
      <c r="J1985" s="13">
        <v>1</v>
      </c>
      <c r="K1985" s="14" t="str">
        <f t="shared" si="346"/>
        <v>Twitter Web Client</v>
      </c>
      <c r="L1985" s="13">
        <v>373</v>
      </c>
      <c r="M1985" s="13">
        <v>685</v>
      </c>
      <c r="N1985" s="13">
        <v>12</v>
      </c>
      <c r="O1985" s="15"/>
      <c r="P1985" s="6">
        <v>40514.688379629632</v>
      </c>
      <c r="Q1985" s="16" t="s">
        <v>3396</v>
      </c>
      <c r="R1985" s="17" t="s">
        <v>6852</v>
      </c>
      <c r="S1985" s="11" t="s">
        <v>6853</v>
      </c>
      <c r="T1985" s="12"/>
      <c r="U1985" s="10" t="str">
        <f>HYPERLINK("https://pbs.twimg.com/profile_images/813134649165811712/U3CdEBik.jpg","View")</f>
        <v>View</v>
      </c>
    </row>
    <row r="1986" spans="1:21" ht="40.799999999999997">
      <c r="A1986" s="6">
        <v>43436.979363425926</v>
      </c>
      <c r="B1986" s="7" t="str">
        <f>HYPERLINK("https://twitter.com/GuilleGarabito","@GuilleGarabito")</f>
        <v>@GuilleGarabito</v>
      </c>
      <c r="C1986" s="8" t="s">
        <v>6854</v>
      </c>
      <c r="D1986" s="9" t="s">
        <v>6855</v>
      </c>
      <c r="E1986" s="10" t="str">
        <f>HYPERLINK("https://twitter.com/GuilleGarabito/status/1069358117396381696","1069358117396381696")</f>
        <v>1069358117396381696</v>
      </c>
      <c r="F1986" s="12"/>
      <c r="G1986" s="12"/>
      <c r="H1986" s="12"/>
      <c r="I1986" s="13">
        <v>1</v>
      </c>
      <c r="J1986" s="13">
        <v>6</v>
      </c>
      <c r="K1986" s="14" t="str">
        <f t="shared" ref="K1986:K1987" si="347">HYPERLINK("http://twitter.com/download/iphone","Twitter for iPhone")</f>
        <v>Twitter for iPhone</v>
      </c>
      <c r="L1986" s="13">
        <v>1282</v>
      </c>
      <c r="M1986" s="13">
        <v>504</v>
      </c>
      <c r="N1986" s="13">
        <v>20</v>
      </c>
      <c r="O1986" s="15"/>
      <c r="P1986" s="6">
        <v>40049.46738425926</v>
      </c>
      <c r="Q1986" s="12"/>
      <c r="R1986" s="17" t="s">
        <v>6856</v>
      </c>
      <c r="S1986" s="12"/>
      <c r="T1986" s="12"/>
      <c r="U1986" s="10" t="str">
        <f>HYPERLINK("https://pbs.twimg.com/profile_images/710596122067255296/KPrBhd5H.jpg","View")</f>
        <v>View</v>
      </c>
    </row>
    <row r="1987" spans="1:21" ht="51">
      <c r="A1987" s="6">
        <v>43436.979351851856</v>
      </c>
      <c r="B1987" s="7" t="str">
        <f>HYPERLINK("https://twitter.com/Amparo_Soria","@Amparo_Soria")</f>
        <v>@Amparo_Soria</v>
      </c>
      <c r="C1987" s="8" t="s">
        <v>6857</v>
      </c>
      <c r="D1987" s="9" t="s">
        <v>6858</v>
      </c>
      <c r="E1987" s="10" t="str">
        <f>HYPERLINK("https://twitter.com/Amparo_Soria/status/1069358112270897155","1069358112270897155")</f>
        <v>1069358112270897155</v>
      </c>
      <c r="F1987" s="11" t="s">
        <v>6859</v>
      </c>
      <c r="G1987" s="12"/>
      <c r="H1987" s="12"/>
      <c r="I1987" s="13">
        <v>0</v>
      </c>
      <c r="J1987" s="13">
        <v>0</v>
      </c>
      <c r="K1987" s="14" t="str">
        <f t="shared" si="347"/>
        <v>Twitter for iPhone</v>
      </c>
      <c r="L1987" s="13">
        <v>448</v>
      </c>
      <c r="M1987" s="13">
        <v>337</v>
      </c>
      <c r="N1987" s="13">
        <v>6</v>
      </c>
      <c r="O1987" s="15"/>
      <c r="P1987" s="6">
        <v>40658.660057870373</v>
      </c>
      <c r="Q1987" s="16" t="s">
        <v>328</v>
      </c>
      <c r="R1987" s="17" t="s">
        <v>6860</v>
      </c>
      <c r="S1987" s="12"/>
      <c r="T1987" s="12"/>
      <c r="U1987" s="10" t="str">
        <f>HYPERLINK("https://pbs.twimg.com/profile_images/994828097798180864/dCYB_RjD.jpg","View")</f>
        <v>View</v>
      </c>
    </row>
    <row r="1988" spans="1:21" ht="40.799999999999997">
      <c r="A1988" s="6">
        <v>43436.979328703703</v>
      </c>
      <c r="B1988" s="7" t="str">
        <f>HYPERLINK("https://twitter.com/rgarciadeandres","@rgarciadeandres")</f>
        <v>@rgarciadeandres</v>
      </c>
      <c r="C1988" s="8" t="s">
        <v>6861</v>
      </c>
      <c r="D1988" s="9" t="s">
        <v>6862</v>
      </c>
      <c r="E1988" s="10" t="str">
        <f>HYPERLINK("https://twitter.com/rgarciadeandres/status/1069358105123803136","1069358105123803136")</f>
        <v>1069358105123803136</v>
      </c>
      <c r="F1988" s="12"/>
      <c r="G1988" s="12"/>
      <c r="H1988" s="12"/>
      <c r="I1988" s="13">
        <v>0</v>
      </c>
      <c r="J1988" s="13">
        <v>0</v>
      </c>
      <c r="K1988" s="14" t="str">
        <f>HYPERLINK("http://twitter.com/download/android","Twitter for Android")</f>
        <v>Twitter for Android</v>
      </c>
      <c r="L1988" s="13">
        <v>3776</v>
      </c>
      <c r="M1988" s="13">
        <v>4998</v>
      </c>
      <c r="N1988" s="13">
        <v>93</v>
      </c>
      <c r="O1988" s="15"/>
      <c r="P1988" s="6">
        <v>40600.74690972222</v>
      </c>
      <c r="Q1988" s="16" t="s">
        <v>6863</v>
      </c>
      <c r="R1988" s="17" t="s">
        <v>6864</v>
      </c>
      <c r="S1988" s="11" t="s">
        <v>6865</v>
      </c>
      <c r="T1988" s="12"/>
      <c r="U1988" s="10" t="str">
        <f>HYPERLINK("https://pbs.twimg.com/profile_images/1070909590500446209/w3qij_nC.jpg","View")</f>
        <v>View</v>
      </c>
    </row>
    <row r="1989" spans="1:21" ht="20.399999999999999">
      <c r="A1989" s="6">
        <v>43436.979317129633</v>
      </c>
      <c r="B1989" s="7" t="str">
        <f>HYPERLINK("https://twitter.com/ErXatu","@ErXatu")</f>
        <v>@ErXatu</v>
      </c>
      <c r="C1989" s="8" t="s">
        <v>6866</v>
      </c>
      <c r="D1989" s="9" t="s">
        <v>6867</v>
      </c>
      <c r="E1989" s="10" t="str">
        <f>HYPERLINK("https://twitter.com/ErXatu/status/1069358099880964109","1069358099880964109")</f>
        <v>1069358099880964109</v>
      </c>
      <c r="F1989" s="12"/>
      <c r="G1989" s="12"/>
      <c r="H1989" s="12"/>
      <c r="I1989" s="13">
        <v>31</v>
      </c>
      <c r="J1989" s="13">
        <v>93</v>
      </c>
      <c r="K1989" s="14" t="str">
        <f t="shared" ref="K1989:K1990" si="348">HYPERLINK("https://about.twitter.com/products/tweetdeck","TweetDeck")</f>
        <v>TweetDeck</v>
      </c>
      <c r="L1989" s="13">
        <v>310</v>
      </c>
      <c r="M1989" s="13">
        <v>208</v>
      </c>
      <c r="N1989" s="13">
        <v>8</v>
      </c>
      <c r="O1989" s="15"/>
      <c r="P1989" s="6">
        <v>42501.830671296295</v>
      </c>
      <c r="Q1989" s="16" t="s">
        <v>389</v>
      </c>
      <c r="R1989" s="17" t="s">
        <v>6868</v>
      </c>
      <c r="S1989" s="12"/>
      <c r="T1989" s="12"/>
      <c r="U1989" s="10" t="str">
        <f>HYPERLINK("https://pbs.twimg.com/profile_images/1068866174375612416/8VeGz4Kd.jpg","View")</f>
        <v>View</v>
      </c>
    </row>
    <row r="1990" spans="1:21" ht="30.6">
      <c r="A1990" s="6">
        <v>43436.979305555556</v>
      </c>
      <c r="B1990" s="7" t="str">
        <f>HYPERLINK("https://twitter.com/los_replicantes","@los_replicantes")</f>
        <v>@los_replicantes</v>
      </c>
      <c r="C1990" s="8" t="s">
        <v>5527</v>
      </c>
      <c r="D1990" s="9" t="s">
        <v>6869</v>
      </c>
      <c r="E1990" s="10" t="str">
        <f>HYPERLINK("https://twitter.com/los_replicantes/status/1069358098261921792","1069358098261921792")</f>
        <v>1069358098261921792</v>
      </c>
      <c r="F1990" s="11" t="s">
        <v>6646</v>
      </c>
      <c r="G1990" s="11" t="s">
        <v>6870</v>
      </c>
      <c r="H1990" s="12"/>
      <c r="I1990" s="13">
        <v>0</v>
      </c>
      <c r="J1990" s="13">
        <v>0</v>
      </c>
      <c r="K1990" s="14" t="str">
        <f t="shared" si="348"/>
        <v>TweetDeck</v>
      </c>
      <c r="L1990" s="13">
        <v>11882</v>
      </c>
      <c r="M1990" s="13">
        <v>271</v>
      </c>
      <c r="N1990" s="13">
        <v>223</v>
      </c>
      <c r="O1990" s="15"/>
      <c r="P1990" s="6">
        <v>40252.517604166671</v>
      </c>
      <c r="Q1990" s="12"/>
      <c r="R1990" s="17" t="s">
        <v>5531</v>
      </c>
      <c r="S1990" s="11" t="s">
        <v>5532</v>
      </c>
      <c r="T1990" s="12"/>
      <c r="U1990" s="10" t="str">
        <f>HYPERLINK("https://pbs.twimg.com/profile_images/1018872125698998272/CSELtZwH.jpg","View")</f>
        <v>View</v>
      </c>
    </row>
    <row r="1991" spans="1:21" ht="40.799999999999997">
      <c r="A1991" s="6">
        <v>43436.97929398148</v>
      </c>
      <c r="B1991" s="7" t="str">
        <f>HYPERLINK("https://twitter.com/emartinest","@emartinest")</f>
        <v>@emartinest</v>
      </c>
      <c r="C1991" s="8" t="s">
        <v>6871</v>
      </c>
      <c r="D1991" s="9" t="s">
        <v>6872</v>
      </c>
      <c r="E1991" s="10" t="str">
        <f>HYPERLINK("https://twitter.com/emartinest/status/1069358089932029958","1069358089932029958")</f>
        <v>1069358089932029958</v>
      </c>
      <c r="F1991" s="12"/>
      <c r="G1991" s="12"/>
      <c r="H1991" s="12"/>
      <c r="I1991" s="13">
        <v>0</v>
      </c>
      <c r="J1991" s="13">
        <v>0</v>
      </c>
      <c r="K1991" s="14" t="str">
        <f>HYPERLINK("http://twitter.com","Twitter Web Client")</f>
        <v>Twitter Web Client</v>
      </c>
      <c r="L1991" s="13">
        <v>301</v>
      </c>
      <c r="M1991" s="13">
        <v>579</v>
      </c>
      <c r="N1991" s="13">
        <v>8</v>
      </c>
      <c r="O1991" s="15"/>
      <c r="P1991" s="6">
        <v>40770.963495370372</v>
      </c>
      <c r="Q1991" s="12"/>
      <c r="R1991" s="17" t="s">
        <v>6873</v>
      </c>
      <c r="S1991" s="12"/>
      <c r="T1991" s="12"/>
      <c r="U1991" s="10" t="str">
        <f>HYPERLINK("https://pbs.twimg.com/profile_images/863501725956804609/CwTkOnCd.jpg","View")</f>
        <v>View</v>
      </c>
    </row>
    <row r="1992" spans="1:21" ht="20.399999999999999">
      <c r="A1992" s="6">
        <v>43436.979189814811</v>
      </c>
      <c r="B1992" s="7" t="str">
        <f>HYPERLINK("https://twitter.com/rasme26","@rasme26")</f>
        <v>@rasme26</v>
      </c>
      <c r="C1992" s="8" t="s">
        <v>6874</v>
      </c>
      <c r="D1992" s="9" t="s">
        <v>6875</v>
      </c>
      <c r="E1992" s="10" t="str">
        <f>HYPERLINK("https://twitter.com/rasme26/status/1069358052300767234","1069358052300767234")</f>
        <v>1069358052300767234</v>
      </c>
      <c r="F1992" s="12"/>
      <c r="G1992" s="12"/>
      <c r="H1992" s="12"/>
      <c r="I1992" s="13">
        <v>0</v>
      </c>
      <c r="J1992" s="13">
        <v>1</v>
      </c>
      <c r="K1992" s="14" t="str">
        <f t="shared" ref="K1992:K1993" si="349">HYPERLINK("http://twitter.com/download/iphone","Twitter for iPhone")</f>
        <v>Twitter for iPhone</v>
      </c>
      <c r="L1992" s="13">
        <v>23</v>
      </c>
      <c r="M1992" s="13">
        <v>14</v>
      </c>
      <c r="N1992" s="13">
        <v>0</v>
      </c>
      <c r="O1992" s="15"/>
      <c r="P1992" s="6">
        <v>40849.926805555559</v>
      </c>
      <c r="Q1992" s="12"/>
      <c r="R1992" s="20"/>
      <c r="S1992" s="12"/>
      <c r="T1992" s="12"/>
      <c r="U1992" s="10" t="str">
        <f>HYPERLINK("https://pbs.twimg.com/profile_images/556927085449842692/wpUlffFt.jpeg","View")</f>
        <v>View</v>
      </c>
    </row>
    <row r="1993" spans="1:21" ht="30.6">
      <c r="A1993" s="6">
        <v>43436.979143518518</v>
      </c>
      <c r="B1993" s="7" t="str">
        <f>HYPERLINK("https://twitter.com/fatslithers","@fatslithers")</f>
        <v>@fatslithers</v>
      </c>
      <c r="C1993" s="8" t="s">
        <v>6876</v>
      </c>
      <c r="D1993" s="9" t="s">
        <v>6877</v>
      </c>
      <c r="E1993" s="10" t="str">
        <f>HYPERLINK("https://twitter.com/fatslithers/status/1069358035380985856","1069358035380985856")</f>
        <v>1069358035380985856</v>
      </c>
      <c r="F1993" s="12"/>
      <c r="G1993" s="12"/>
      <c r="H1993" s="12"/>
      <c r="I1993" s="13">
        <v>0</v>
      </c>
      <c r="J1993" s="13">
        <v>0</v>
      </c>
      <c r="K1993" s="14" t="str">
        <f t="shared" si="349"/>
        <v>Twitter for iPhone</v>
      </c>
      <c r="L1993" s="13">
        <v>235</v>
      </c>
      <c r="M1993" s="13">
        <v>392</v>
      </c>
      <c r="N1993" s="13">
        <v>7</v>
      </c>
      <c r="O1993" s="15"/>
      <c r="P1993" s="6">
        <v>40552.880752314813</v>
      </c>
      <c r="Q1993" s="12"/>
      <c r="R1993" s="17" t="s">
        <v>6878</v>
      </c>
      <c r="S1993" s="11" t="s">
        <v>6879</v>
      </c>
      <c r="T1993" s="12"/>
      <c r="U1993" s="10" t="str">
        <f>HYPERLINK("https://pbs.twimg.com/profile_images/1212735002/Imagen047.jpg","View")</f>
        <v>View</v>
      </c>
    </row>
    <row r="1994" spans="1:21" ht="13.2">
      <c r="A1994" s="6">
        <v>43436.979131944448</v>
      </c>
      <c r="B1994" s="7" t="str">
        <f>HYPERLINK("https://twitter.com/juanpetooloko","@juanpetooloko")</f>
        <v>@juanpetooloko</v>
      </c>
      <c r="C1994" s="8" t="s">
        <v>6880</v>
      </c>
      <c r="D1994" s="9" t="s">
        <v>6881</v>
      </c>
      <c r="E1994" s="10" t="str">
        <f>HYPERLINK("https://twitter.com/juanpetooloko/status/1069358034340712453","1069358034340712453")</f>
        <v>1069358034340712453</v>
      </c>
      <c r="F1994" s="12"/>
      <c r="G1994" s="12"/>
      <c r="H1994" s="12"/>
      <c r="I1994" s="13">
        <v>3</v>
      </c>
      <c r="J1994" s="13">
        <v>18</v>
      </c>
      <c r="K1994" s="14" t="str">
        <f>HYPERLINK("http://twitter.com","Twitter Web Client")</f>
        <v>Twitter Web Client</v>
      </c>
      <c r="L1994" s="13">
        <v>2985</v>
      </c>
      <c r="M1994" s="13">
        <v>425</v>
      </c>
      <c r="N1994" s="13">
        <v>39</v>
      </c>
      <c r="O1994" s="15"/>
      <c r="P1994" s="6">
        <v>42029.003287037034</v>
      </c>
      <c r="Q1994" s="16" t="s">
        <v>6882</v>
      </c>
      <c r="R1994" s="17" t="s">
        <v>6883</v>
      </c>
      <c r="S1994" s="12"/>
      <c r="T1994" s="12"/>
      <c r="U1994" s="10" t="str">
        <f>HYPERLINK("https://pbs.twimg.com/profile_images/963897357942312960/zNzaqgm4.jpg","View")</f>
        <v>View</v>
      </c>
    </row>
    <row r="1995" spans="1:21" ht="30.6">
      <c r="A1995" s="6">
        <v>43436.979131944448</v>
      </c>
      <c r="B1995" s="7" t="str">
        <f>HYPERLINK("https://twitter.com/JaRibasOl","@JaRibasOl")</f>
        <v>@JaRibasOl</v>
      </c>
      <c r="C1995" s="8" t="s">
        <v>2989</v>
      </c>
      <c r="D1995" s="9" t="s">
        <v>6884</v>
      </c>
      <c r="E1995" s="10" t="str">
        <f>HYPERLINK("https://twitter.com/JaRibasOl/status/1069358033459912704","1069358033459912704")</f>
        <v>1069358033459912704</v>
      </c>
      <c r="F1995" s="12"/>
      <c r="G1995" s="12"/>
      <c r="H1995" s="12"/>
      <c r="I1995" s="13">
        <v>0</v>
      </c>
      <c r="J1995" s="13">
        <v>0</v>
      </c>
      <c r="K1995" s="14" t="str">
        <f t="shared" ref="K1995:K1998" si="350">HYPERLINK("http://twitter.com/download/android","Twitter for Android")</f>
        <v>Twitter for Android</v>
      </c>
      <c r="L1995" s="13">
        <v>717</v>
      </c>
      <c r="M1995" s="13">
        <v>684</v>
      </c>
      <c r="N1995" s="13">
        <v>12</v>
      </c>
      <c r="O1995" s="15"/>
      <c r="P1995" s="6">
        <v>40798.777187500003</v>
      </c>
      <c r="Q1995" s="16" t="s">
        <v>6885</v>
      </c>
      <c r="R1995" s="17" t="s">
        <v>6886</v>
      </c>
      <c r="S1995" s="12"/>
      <c r="T1995" s="12"/>
      <c r="U1995" s="10" t="str">
        <f>HYPERLINK("https://pbs.twimg.com/profile_images/1054047631159234561/k5dsBzKA.jpg","View")</f>
        <v>View</v>
      </c>
    </row>
    <row r="1996" spans="1:21" ht="40.799999999999997">
      <c r="A1996" s="6">
        <v>43436.979108796295</v>
      </c>
      <c r="B1996" s="7" t="str">
        <f>HYPERLINK("https://twitter.com/aldzalamea","@aldzalamea")</f>
        <v>@aldzalamea</v>
      </c>
      <c r="C1996" s="8" t="s">
        <v>6887</v>
      </c>
      <c r="D1996" s="9" t="s">
        <v>6888</v>
      </c>
      <c r="E1996" s="10" t="str">
        <f>HYPERLINK("https://twitter.com/aldzalamea/status/1069358026241527808","1069358026241527808")</f>
        <v>1069358026241527808</v>
      </c>
      <c r="F1996" s="12"/>
      <c r="G1996" s="12"/>
      <c r="H1996" s="12"/>
      <c r="I1996" s="13">
        <v>2</v>
      </c>
      <c r="J1996" s="13">
        <v>6</v>
      </c>
      <c r="K1996" s="14" t="str">
        <f t="shared" si="350"/>
        <v>Twitter for Android</v>
      </c>
      <c r="L1996" s="13">
        <v>513</v>
      </c>
      <c r="M1996" s="13">
        <v>361</v>
      </c>
      <c r="N1996" s="13">
        <v>3</v>
      </c>
      <c r="O1996" s="15"/>
      <c r="P1996" s="6">
        <v>41133.0152662037</v>
      </c>
      <c r="Q1996" s="16" t="s">
        <v>2165</v>
      </c>
      <c r="R1996" s="17" t="s">
        <v>6889</v>
      </c>
      <c r="S1996" s="11" t="s">
        <v>6890</v>
      </c>
      <c r="T1996" s="12"/>
      <c r="U1996" s="10" t="str">
        <f>HYPERLINK("https://pbs.twimg.com/profile_images/1058405964234350593/_lb5hYXU.jpg","View")</f>
        <v>View</v>
      </c>
    </row>
    <row r="1997" spans="1:21" ht="20.399999999999999">
      <c r="A1997" s="6">
        <v>43436.979085648149</v>
      </c>
      <c r="B1997" s="7" t="str">
        <f>HYPERLINK("https://twitter.com/Espinosa_Pinto","@Espinosa_Pinto")</f>
        <v>@Espinosa_Pinto</v>
      </c>
      <c r="C1997" s="8" t="s">
        <v>6891</v>
      </c>
      <c r="D1997" s="9" t="s">
        <v>6892</v>
      </c>
      <c r="E1997" s="10" t="str">
        <f>HYPERLINK("https://twitter.com/Espinosa_Pinto/status/1069358015671873537","1069358015671873537")</f>
        <v>1069358015671873537</v>
      </c>
      <c r="F1997" s="12"/>
      <c r="G1997" s="11" t="s">
        <v>6893</v>
      </c>
      <c r="H1997" s="12"/>
      <c r="I1997" s="13">
        <v>0</v>
      </c>
      <c r="J1997" s="13">
        <v>2</v>
      </c>
      <c r="K1997" s="14" t="str">
        <f t="shared" si="350"/>
        <v>Twitter for Android</v>
      </c>
      <c r="L1997" s="13">
        <v>321</v>
      </c>
      <c r="M1997" s="13">
        <v>109</v>
      </c>
      <c r="N1997" s="13">
        <v>16</v>
      </c>
      <c r="O1997" s="15"/>
      <c r="P1997" s="6">
        <v>40581.095254629632</v>
      </c>
      <c r="Q1997" s="16" t="s">
        <v>48</v>
      </c>
      <c r="R1997" s="17" t="s">
        <v>6894</v>
      </c>
      <c r="S1997" s="11" t="s">
        <v>6895</v>
      </c>
      <c r="T1997" s="12"/>
      <c r="U1997" s="10" t="str">
        <f>HYPERLINK("https://pbs.twimg.com/profile_images/1236995952/Skreemer.jpg","View")</f>
        <v>View</v>
      </c>
    </row>
    <row r="1998" spans="1:21" ht="30.6">
      <c r="A1998" s="6">
        <v>43436.979050925926</v>
      </c>
      <c r="B1998" s="7" t="str">
        <f>HYPERLINK("https://twitter.com/truchimanbxl","@truchimanbxl")</f>
        <v>@truchimanbxl</v>
      </c>
      <c r="C1998" s="8" t="s">
        <v>6896</v>
      </c>
      <c r="D1998" s="9" t="s">
        <v>6897</v>
      </c>
      <c r="E1998" s="10" t="str">
        <f>HYPERLINK("https://twitter.com/truchimanbxl/status/1069358004888395777","1069358004888395777")</f>
        <v>1069358004888395777</v>
      </c>
      <c r="F1998" s="12"/>
      <c r="G1998" s="12"/>
      <c r="H1998" s="12"/>
      <c r="I1998" s="13">
        <v>0</v>
      </c>
      <c r="J1998" s="13">
        <v>2</v>
      </c>
      <c r="K1998" s="14" t="str">
        <f t="shared" si="350"/>
        <v>Twitter for Android</v>
      </c>
      <c r="L1998" s="13">
        <v>51</v>
      </c>
      <c r="M1998" s="13">
        <v>135</v>
      </c>
      <c r="N1998" s="13">
        <v>0</v>
      </c>
      <c r="O1998" s="15"/>
      <c r="P1998" s="6">
        <v>40999.36146990741</v>
      </c>
      <c r="Q1998" s="16" t="s">
        <v>6898</v>
      </c>
      <c r="R1998" s="20"/>
      <c r="S1998" s="12"/>
      <c r="T1998" s="12"/>
      <c r="U1998" s="10" t="str">
        <f>HYPERLINK("https://pbs.twimg.com/profile_images/2182614552/T7SVH165","View")</f>
        <v>View</v>
      </c>
    </row>
    <row r="1999" spans="1:21" ht="40.799999999999997">
      <c r="A1999" s="6">
        <v>43436.979050925926</v>
      </c>
      <c r="B1999" s="7" t="str">
        <f>HYPERLINK("https://twitter.com/LaVidaXDelante5","@LaVidaXDelante5")</f>
        <v>@LaVidaXDelante5</v>
      </c>
      <c r="C1999" s="8" t="s">
        <v>6391</v>
      </c>
      <c r="D1999" s="9" t="s">
        <v>6899</v>
      </c>
      <c r="E1999" s="10" t="str">
        <f>HYPERLINK("https://twitter.com/LaVidaXDelante5/status/1069358003009331200","1069358003009331200")</f>
        <v>1069358003009331200</v>
      </c>
      <c r="F1999" s="12"/>
      <c r="G1999" s="12"/>
      <c r="H1999" s="12"/>
      <c r="I1999" s="13">
        <v>0</v>
      </c>
      <c r="J1999" s="13">
        <v>0</v>
      </c>
      <c r="K1999" s="14" t="str">
        <f>HYPERLINK("http://twitter.com","Twitter Web Client")</f>
        <v>Twitter Web Client</v>
      </c>
      <c r="L1999" s="13">
        <v>21</v>
      </c>
      <c r="M1999" s="13">
        <v>95</v>
      </c>
      <c r="N1999" s="13">
        <v>0</v>
      </c>
      <c r="O1999" s="15"/>
      <c r="P1999" s="6">
        <v>41986.741203703699</v>
      </c>
      <c r="Q1999" s="12"/>
      <c r="R1999" s="17" t="s">
        <v>6900</v>
      </c>
      <c r="S1999" s="12"/>
      <c r="T1999" s="12"/>
      <c r="U1999" s="10" t="str">
        <f>HYPERLINK("https://pbs.twimg.com/profile_images/873907400574742528/O-El-PQF.jpg","View")</f>
        <v>View</v>
      </c>
    </row>
    <row r="2000" spans="1:21" ht="20.399999999999999">
      <c r="A2000" s="6">
        <v>43436.979004629626</v>
      </c>
      <c r="B2000" s="7" t="str">
        <f>HYPERLINK("https://twitter.com/JesusBosa","@JesusBosa")</f>
        <v>@JesusBosa</v>
      </c>
      <c r="C2000" s="8" t="s">
        <v>5191</v>
      </c>
      <c r="D2000" s="9" t="s">
        <v>6901</v>
      </c>
      <c r="E2000" s="10" t="str">
        <f>HYPERLINK("https://twitter.com/JesusBosa/status/1069357986076868609","1069357986076868609")</f>
        <v>1069357986076868609</v>
      </c>
      <c r="F2000" s="12"/>
      <c r="G2000" s="12"/>
      <c r="H2000" s="12"/>
      <c r="I2000" s="13">
        <v>2</v>
      </c>
      <c r="J2000" s="13">
        <v>0</v>
      </c>
      <c r="K2000" s="14" t="str">
        <f t="shared" ref="K2000:K2001" si="351">HYPERLINK("http://twitter.com/download/android","Twitter for Android")</f>
        <v>Twitter for Android</v>
      </c>
      <c r="L2000" s="13">
        <v>627</v>
      </c>
      <c r="M2000" s="13">
        <v>672</v>
      </c>
      <c r="N2000" s="13">
        <v>15</v>
      </c>
      <c r="O2000" s="15"/>
      <c r="P2000" s="6">
        <v>41067.640601851854</v>
      </c>
      <c r="Q2000" s="16" t="s">
        <v>611</v>
      </c>
      <c r="R2000" s="17" t="s">
        <v>6902</v>
      </c>
      <c r="S2000" s="12"/>
      <c r="T2000" s="12"/>
      <c r="U2000" s="10" t="str">
        <f>HYPERLINK("https://pbs.twimg.com/profile_images/821458350038781952/sN6zcHBl.jpg","View")</f>
        <v>View</v>
      </c>
    </row>
    <row r="2001" spans="1:21" ht="30.6">
      <c r="A2001" s="6">
        <v>43436.978981481487</v>
      </c>
      <c r="B2001" s="7" t="str">
        <f>HYPERLINK("https://twitter.com/RockyPoly","@RockyPoly")</f>
        <v>@RockyPoly</v>
      </c>
      <c r="C2001" s="8" t="s">
        <v>6903</v>
      </c>
      <c r="D2001" s="9" t="s">
        <v>6904</v>
      </c>
      <c r="E2001" s="10" t="str">
        <f>HYPERLINK("https://twitter.com/RockyPoly/status/1069357977549922304","1069357977549922304")</f>
        <v>1069357977549922304</v>
      </c>
      <c r="F2001" s="12"/>
      <c r="G2001" s="12"/>
      <c r="H2001" s="12"/>
      <c r="I2001" s="13">
        <v>0</v>
      </c>
      <c r="J2001" s="13">
        <v>0</v>
      </c>
      <c r="K2001" s="14" t="str">
        <f t="shared" si="351"/>
        <v>Twitter for Android</v>
      </c>
      <c r="L2001" s="13">
        <v>573</v>
      </c>
      <c r="M2001" s="13">
        <v>473</v>
      </c>
      <c r="N2001" s="13">
        <v>4</v>
      </c>
      <c r="O2001" s="15"/>
      <c r="P2001" s="6">
        <v>41128.664988425924</v>
      </c>
      <c r="Q2001" s="16" t="s">
        <v>2292</v>
      </c>
      <c r="R2001" s="17" t="s">
        <v>6905</v>
      </c>
      <c r="S2001" s="12"/>
      <c r="T2001" s="12"/>
      <c r="U2001" s="10" t="str">
        <f>HYPERLINK("https://pbs.twimg.com/profile_images/1017362506724110336/hwIB0tYy.jpg","View")</f>
        <v>View</v>
      </c>
    </row>
    <row r="2002" spans="1:21" ht="30.6">
      <c r="A2002" s="6">
        <v>43436.978958333333</v>
      </c>
      <c r="B2002" s="7" t="str">
        <f>HYPERLINK("https://twitter.com/juliacondeh","@juliacondeh")</f>
        <v>@juliacondeh</v>
      </c>
      <c r="C2002" s="8" t="s">
        <v>6906</v>
      </c>
      <c r="D2002" s="9" t="s">
        <v>6907</v>
      </c>
      <c r="E2002" s="10" t="str">
        <f>HYPERLINK("https://twitter.com/juliacondeh/status/1069357968955723777","1069357968955723777")</f>
        <v>1069357968955723777</v>
      </c>
      <c r="F2002" s="12"/>
      <c r="G2002" s="12"/>
      <c r="H2002" s="12"/>
      <c r="I2002" s="13">
        <v>0</v>
      </c>
      <c r="J2002" s="13">
        <v>1</v>
      </c>
      <c r="K2002" s="14" t="str">
        <f>HYPERLINK("http://twitter.com/download/iphone","Twitter for iPhone")</f>
        <v>Twitter for iPhone</v>
      </c>
      <c r="L2002" s="13">
        <v>740</v>
      </c>
      <c r="M2002" s="13">
        <v>1666</v>
      </c>
      <c r="N2002" s="13">
        <v>27</v>
      </c>
      <c r="O2002" s="15"/>
      <c r="P2002" s="6">
        <v>40582.945925925924</v>
      </c>
      <c r="Q2002" s="16" t="s">
        <v>6908</v>
      </c>
      <c r="R2002" s="17" t="s">
        <v>6909</v>
      </c>
      <c r="S2002" s="12"/>
      <c r="T2002" s="12"/>
      <c r="U2002" s="10" t="str">
        <f>HYPERLINK("https://pbs.twimg.com/profile_images/963720459937337344/wg4YrKqY.jpg","View")</f>
        <v>View</v>
      </c>
    </row>
    <row r="2003" spans="1:21" ht="20.399999999999999">
      <c r="A2003" s="6">
        <v>43436.978946759264</v>
      </c>
      <c r="B2003" s="7" t="str">
        <f>HYPERLINK("https://twitter.com/atoaupatleti","@atoaupatleti")</f>
        <v>@atoaupatleti</v>
      </c>
      <c r="C2003" s="8" t="s">
        <v>6910</v>
      </c>
      <c r="D2003" s="9" t="s">
        <v>6911</v>
      </c>
      <c r="E2003" s="10" t="str">
        <f>HYPERLINK("https://twitter.com/atoaupatleti/status/1069357967881965568","1069357967881965568")</f>
        <v>1069357967881965568</v>
      </c>
      <c r="F2003" s="12"/>
      <c r="G2003" s="12"/>
      <c r="H2003" s="12"/>
      <c r="I2003" s="13">
        <v>0</v>
      </c>
      <c r="J2003" s="13">
        <v>1</v>
      </c>
      <c r="K2003" s="14" t="str">
        <f>HYPERLINK("http://twitter.com/download/android","Twitter for Android")</f>
        <v>Twitter for Android</v>
      </c>
      <c r="L2003" s="13">
        <v>110</v>
      </c>
      <c r="M2003" s="13">
        <v>477</v>
      </c>
      <c r="N2003" s="13">
        <v>0</v>
      </c>
      <c r="O2003" s="15"/>
      <c r="P2003" s="6">
        <v>42013.645682870367</v>
      </c>
      <c r="Q2003" s="12"/>
      <c r="R2003" s="17" t="s">
        <v>6912</v>
      </c>
      <c r="S2003" s="12"/>
      <c r="T2003" s="12"/>
      <c r="U2003" s="10" t="str">
        <f>HYPERLINK("https://pbs.twimg.com/profile_images/1029858260281634816/Pmv2t18_.jpg","View")</f>
        <v>View</v>
      </c>
    </row>
    <row r="2004" spans="1:21" ht="40.799999999999997">
      <c r="A2004" s="6">
        <v>43436.978900462964</v>
      </c>
      <c r="B2004" s="7" t="str">
        <f>HYPERLINK("https://twitter.com/vespacooper","@vespacooper")</f>
        <v>@vespacooper</v>
      </c>
      <c r="C2004" s="8" t="s">
        <v>6537</v>
      </c>
      <c r="D2004" s="9" t="s">
        <v>6913</v>
      </c>
      <c r="E2004" s="10" t="str">
        <f>HYPERLINK("https://twitter.com/vespacooper/status/1069357951306080257","1069357951306080257")</f>
        <v>1069357951306080257</v>
      </c>
      <c r="F2004" s="12"/>
      <c r="G2004" s="12"/>
      <c r="H2004" s="12"/>
      <c r="I2004" s="13">
        <v>0</v>
      </c>
      <c r="J2004" s="13">
        <v>6</v>
      </c>
      <c r="K2004" s="14" t="str">
        <f>HYPERLINK("http://twitter.com/download/iphone","Twitter for iPhone")</f>
        <v>Twitter for iPhone</v>
      </c>
      <c r="L2004" s="13">
        <v>548</v>
      </c>
      <c r="M2004" s="13">
        <v>305</v>
      </c>
      <c r="N2004" s="13">
        <v>19</v>
      </c>
      <c r="O2004" s="15"/>
      <c r="P2004" s="6">
        <v>39182.987141203703</v>
      </c>
      <c r="Q2004" s="16" t="s">
        <v>6541</v>
      </c>
      <c r="R2004" s="17" t="s">
        <v>6542</v>
      </c>
      <c r="S2004" s="12"/>
      <c r="T2004" s="12"/>
      <c r="U2004" s="10" t="str">
        <f>HYPERLINK("https://pbs.twimg.com/profile_images/982284490583302144/UF6DQgyN.jpg","View")</f>
        <v>View</v>
      </c>
    </row>
    <row r="2005" spans="1:21" ht="40.799999999999997">
      <c r="A2005" s="6">
        <v>43436.978900462964</v>
      </c>
      <c r="B2005" s="7" t="str">
        <f>HYPERLINK("https://twitter.com/Guatdafaq","@Guatdafaq")</f>
        <v>@Guatdafaq</v>
      </c>
      <c r="C2005" s="8" t="s">
        <v>6914</v>
      </c>
      <c r="D2005" s="9" t="s">
        <v>6915</v>
      </c>
      <c r="E2005" s="10" t="str">
        <f>HYPERLINK("https://twitter.com/Guatdafaq/status/1069357947707424770","1069357947707424770")</f>
        <v>1069357947707424770</v>
      </c>
      <c r="F2005" s="12"/>
      <c r="G2005" s="12"/>
      <c r="H2005" s="12"/>
      <c r="I2005" s="13">
        <v>0</v>
      </c>
      <c r="J2005" s="13">
        <v>1</v>
      </c>
      <c r="K2005" s="14" t="str">
        <f t="shared" ref="K2005:K2009" si="352">HYPERLINK("http://twitter.com/download/android","Twitter for Android")</f>
        <v>Twitter for Android</v>
      </c>
      <c r="L2005" s="13">
        <v>364</v>
      </c>
      <c r="M2005" s="13">
        <v>242</v>
      </c>
      <c r="N2005" s="13">
        <v>11</v>
      </c>
      <c r="O2005" s="15"/>
      <c r="P2005" s="6">
        <v>40706.790138888886</v>
      </c>
      <c r="Q2005" s="16" t="s">
        <v>1754</v>
      </c>
      <c r="R2005" s="17" t="s">
        <v>6916</v>
      </c>
      <c r="S2005" s="11" t="s">
        <v>6917</v>
      </c>
      <c r="T2005" s="12"/>
      <c r="U2005" s="10" t="str">
        <f>HYPERLINK("https://pbs.twimg.com/profile_images/839184268073005056/5CMBE_gs.jpg","View")</f>
        <v>View</v>
      </c>
    </row>
    <row r="2006" spans="1:21" ht="13.2">
      <c r="A2006" s="6">
        <v>43436.978877314818</v>
      </c>
      <c r="B2006" s="7" t="str">
        <f>HYPERLINK("https://twitter.com/Neovallense","@Neovallense")</f>
        <v>@Neovallense</v>
      </c>
      <c r="C2006" s="8" t="s">
        <v>6918</v>
      </c>
      <c r="D2006" s="9" t="s">
        <v>6919</v>
      </c>
      <c r="E2006" s="10" t="str">
        <f>HYPERLINK("https://twitter.com/Neovallense/status/1069357940035981312","1069357940035981312")</f>
        <v>1069357940035981312</v>
      </c>
      <c r="F2006" s="12"/>
      <c r="G2006" s="12"/>
      <c r="H2006" s="12"/>
      <c r="I2006" s="13">
        <v>0</v>
      </c>
      <c r="J2006" s="13">
        <v>0</v>
      </c>
      <c r="K2006" s="14" t="str">
        <f t="shared" si="352"/>
        <v>Twitter for Android</v>
      </c>
      <c r="L2006" s="13">
        <v>483</v>
      </c>
      <c r="M2006" s="13">
        <v>609</v>
      </c>
      <c r="N2006" s="13">
        <v>19</v>
      </c>
      <c r="O2006" s="15"/>
      <c r="P2006" s="6">
        <v>40515.396550925929</v>
      </c>
      <c r="Q2006" s="12"/>
      <c r="R2006" s="17" t="s">
        <v>6920</v>
      </c>
      <c r="S2006" s="11" t="s">
        <v>6921</v>
      </c>
      <c r="T2006" s="12"/>
      <c r="U2006" s="10" t="str">
        <f>HYPERLINK("https://pbs.twimg.com/profile_images/1387428307/Berserk_Gatsu.jpg","View")</f>
        <v>View</v>
      </c>
    </row>
    <row r="2007" spans="1:21" ht="30.6">
      <c r="A2007" s="6">
        <v>43436.978865740741</v>
      </c>
      <c r="B2007" s="7" t="str">
        <f>HYPERLINK("https://twitter.com/dasegease","@dasegease")</f>
        <v>@dasegease</v>
      </c>
      <c r="C2007" s="8" t="s">
        <v>6922</v>
      </c>
      <c r="D2007" s="9" t="s">
        <v>6923</v>
      </c>
      <c r="E2007" s="10" t="str">
        <f>HYPERLINK("https://twitter.com/dasegease/status/1069357937813012480","1069357937813012480")</f>
        <v>1069357937813012480</v>
      </c>
      <c r="F2007" s="12"/>
      <c r="G2007" s="12"/>
      <c r="H2007" s="12"/>
      <c r="I2007" s="13">
        <v>0</v>
      </c>
      <c r="J2007" s="13">
        <v>0</v>
      </c>
      <c r="K2007" s="14" t="str">
        <f t="shared" si="352"/>
        <v>Twitter for Android</v>
      </c>
      <c r="L2007" s="13">
        <v>416</v>
      </c>
      <c r="M2007" s="13">
        <v>170</v>
      </c>
      <c r="N2007" s="13">
        <v>67</v>
      </c>
      <c r="O2007" s="15"/>
      <c r="P2007" s="6">
        <v>41647.847569444442</v>
      </c>
      <c r="Q2007" s="16" t="s">
        <v>6924</v>
      </c>
      <c r="R2007" s="17" t="s">
        <v>6925</v>
      </c>
      <c r="S2007" s="11" t="s">
        <v>6926</v>
      </c>
      <c r="T2007" s="12"/>
      <c r="U2007" s="10" t="str">
        <f>HYPERLINK("https://pbs.twimg.com/profile_images/635745454408507392/RJrCrgxL.jpg","View")</f>
        <v>View</v>
      </c>
    </row>
    <row r="2008" spans="1:21" ht="20.399999999999999">
      <c r="A2008" s="6">
        <v>43436.978865740741</v>
      </c>
      <c r="B2008" s="7" t="str">
        <f>HYPERLINK("https://twitter.com/jesusacosta98","@jesusacosta98")</f>
        <v>@jesusacosta98</v>
      </c>
      <c r="C2008" s="8" t="s">
        <v>6927</v>
      </c>
      <c r="D2008" s="9" t="s">
        <v>6928</v>
      </c>
      <c r="E2008" s="10" t="str">
        <f>HYPERLINK("https://twitter.com/jesusacosta98/status/1069357935183179779","1069357935183179779")</f>
        <v>1069357935183179779</v>
      </c>
      <c r="F2008" s="12"/>
      <c r="G2008" s="12"/>
      <c r="H2008" s="12"/>
      <c r="I2008" s="13">
        <v>0</v>
      </c>
      <c r="J2008" s="13">
        <v>0</v>
      </c>
      <c r="K2008" s="14" t="str">
        <f t="shared" si="352"/>
        <v>Twitter for Android</v>
      </c>
      <c r="L2008" s="13">
        <v>417</v>
      </c>
      <c r="M2008" s="13">
        <v>1096</v>
      </c>
      <c r="N2008" s="13">
        <v>2</v>
      </c>
      <c r="O2008" s="15"/>
      <c r="P2008" s="6">
        <v>41751.956261574072</v>
      </c>
      <c r="Q2008" s="16" t="s">
        <v>6929</v>
      </c>
      <c r="R2008" s="17" t="s">
        <v>6930</v>
      </c>
      <c r="S2008" s="12"/>
      <c r="T2008" s="12"/>
      <c r="U2008" s="10" t="str">
        <f>HYPERLINK("https://pbs.twimg.com/profile_images/1024626351557496832/VMyXooBS.jpg","View")</f>
        <v>View</v>
      </c>
    </row>
    <row r="2009" spans="1:21" ht="30.6">
      <c r="A2009" s="6">
        <v>43436.978842592594</v>
      </c>
      <c r="B2009" s="7" t="str">
        <f>HYPERLINK("https://twitter.com/Monolocus","@Monolocus")</f>
        <v>@Monolocus</v>
      </c>
      <c r="C2009" s="8" t="s">
        <v>6931</v>
      </c>
      <c r="D2009" s="9" t="s">
        <v>6932</v>
      </c>
      <c r="E2009" s="10" t="str">
        <f>HYPERLINK("https://twitter.com/Monolocus/status/1069357929600569344","1069357929600569344")</f>
        <v>1069357929600569344</v>
      </c>
      <c r="F2009" s="12"/>
      <c r="G2009" s="11" t="s">
        <v>6933</v>
      </c>
      <c r="H2009" s="12"/>
      <c r="I2009" s="13">
        <v>6</v>
      </c>
      <c r="J2009" s="13">
        <v>16</v>
      </c>
      <c r="K2009" s="14" t="str">
        <f t="shared" si="352"/>
        <v>Twitter for Android</v>
      </c>
      <c r="L2009" s="13">
        <v>10723</v>
      </c>
      <c r="M2009" s="13">
        <v>1315</v>
      </c>
      <c r="N2009" s="13">
        <v>152</v>
      </c>
      <c r="O2009" s="15"/>
      <c r="P2009" s="6">
        <v>40242.746157407411</v>
      </c>
      <c r="Q2009" s="16" t="s">
        <v>232</v>
      </c>
      <c r="R2009" s="17" t="s">
        <v>6934</v>
      </c>
      <c r="S2009" s="11" t="s">
        <v>6935</v>
      </c>
      <c r="T2009" s="12"/>
      <c r="U2009" s="10" t="str">
        <f>HYPERLINK("https://pbs.twimg.com/profile_images/915475555465744384/xhCpK707.jpg","View")</f>
        <v>View</v>
      </c>
    </row>
    <row r="2010" spans="1:21" ht="20.399999999999999">
      <c r="A2010" s="6">
        <v>43436.978831018518</v>
      </c>
      <c r="B2010" s="7" t="str">
        <f>HYPERLINK("https://twitter.com/josmb_8","@josmb_8")</f>
        <v>@josmb_8</v>
      </c>
      <c r="C2010" s="8" t="s">
        <v>6936</v>
      </c>
      <c r="D2010" s="9" t="s">
        <v>6937</v>
      </c>
      <c r="E2010" s="10" t="str">
        <f>HYPERLINK("https://twitter.com/josmb_8/status/1069357925955715077","1069357925955715077")</f>
        <v>1069357925955715077</v>
      </c>
      <c r="F2010" s="12"/>
      <c r="G2010" s="12"/>
      <c r="H2010" s="12"/>
      <c r="I2010" s="13">
        <v>0</v>
      </c>
      <c r="J2010" s="13">
        <v>0</v>
      </c>
      <c r="K2010" s="14" t="str">
        <f>HYPERLINK("http://twitter.com/download/iphone","Twitter for iPhone")</f>
        <v>Twitter for iPhone</v>
      </c>
      <c r="L2010" s="13">
        <v>676</v>
      </c>
      <c r="M2010" s="13">
        <v>2180</v>
      </c>
      <c r="N2010" s="13">
        <v>18</v>
      </c>
      <c r="O2010" s="15"/>
      <c r="P2010" s="6">
        <v>40562.694918981484</v>
      </c>
      <c r="Q2010" s="12"/>
      <c r="R2010" s="17" t="s">
        <v>6938</v>
      </c>
      <c r="S2010" s="12"/>
      <c r="T2010" s="12"/>
      <c r="U2010" s="10" t="str">
        <f>HYPERLINK("https://pbs.twimg.com/profile_images/1066447364997681152/abHtnLjG.jpg","View")</f>
        <v>View</v>
      </c>
    </row>
    <row r="2011" spans="1:21" ht="20.399999999999999">
      <c r="A2011" s="6">
        <v>43436.978831018518</v>
      </c>
      <c r="B2011" s="7" t="str">
        <f>HYPERLINK("https://twitter.com/LuiFalGoz","@LuiFalGoz")</f>
        <v>@LuiFalGoz</v>
      </c>
      <c r="C2011" s="8" t="s">
        <v>6939</v>
      </c>
      <c r="D2011" s="9" t="s">
        <v>6940</v>
      </c>
      <c r="E2011" s="10" t="str">
        <f>HYPERLINK("https://twitter.com/LuiFalGoz/status/1069357924114472960","1069357924114472960")</f>
        <v>1069357924114472960</v>
      </c>
      <c r="F2011" s="12"/>
      <c r="G2011" s="12"/>
      <c r="H2011" s="12"/>
      <c r="I2011" s="13">
        <v>0</v>
      </c>
      <c r="J2011" s="13">
        <v>0</v>
      </c>
      <c r="K2011" s="14" t="str">
        <f t="shared" ref="K2011:K2012" si="353">HYPERLINK("http://twitter.com/download/android","Twitter for Android")</f>
        <v>Twitter for Android</v>
      </c>
      <c r="L2011" s="13">
        <v>120</v>
      </c>
      <c r="M2011" s="13">
        <v>313</v>
      </c>
      <c r="N2011" s="13">
        <v>0</v>
      </c>
      <c r="O2011" s="15"/>
      <c r="P2011" s="6">
        <v>41127.922523148147</v>
      </c>
      <c r="Q2011" s="16" t="s">
        <v>328</v>
      </c>
      <c r="R2011" s="17" t="s">
        <v>6941</v>
      </c>
      <c r="S2011" s="12"/>
      <c r="T2011" s="12"/>
      <c r="U2011" s="10" t="str">
        <f>HYPERLINK("https://pbs.twimg.com/profile_images/1010138818215923718/FjZ9uXK8.jpg","View")</f>
        <v>View</v>
      </c>
    </row>
    <row r="2012" spans="1:21" ht="20.399999999999999">
      <c r="A2012" s="6">
        <v>43436.978831018518</v>
      </c>
      <c r="B2012" s="7" t="str">
        <f>HYPERLINK("https://twitter.com/El_Davit","@El_Davit")</f>
        <v>@El_Davit</v>
      </c>
      <c r="C2012" s="8" t="s">
        <v>6942</v>
      </c>
      <c r="D2012" s="9" t="s">
        <v>6943</v>
      </c>
      <c r="E2012" s="10" t="str">
        <f>HYPERLINK("https://twitter.com/El_Davit/status/1069357922587680770","1069357922587680770")</f>
        <v>1069357922587680770</v>
      </c>
      <c r="F2012" s="12"/>
      <c r="G2012" s="12"/>
      <c r="H2012" s="12"/>
      <c r="I2012" s="13">
        <v>1</v>
      </c>
      <c r="J2012" s="13">
        <v>0</v>
      </c>
      <c r="K2012" s="14" t="str">
        <f t="shared" si="353"/>
        <v>Twitter for Android</v>
      </c>
      <c r="L2012" s="13">
        <v>53</v>
      </c>
      <c r="M2012" s="13">
        <v>273</v>
      </c>
      <c r="N2012" s="13">
        <v>2</v>
      </c>
      <c r="O2012" s="15"/>
      <c r="P2012" s="6">
        <v>40863.87259259259</v>
      </c>
      <c r="Q2012" s="16" t="s">
        <v>563</v>
      </c>
      <c r="R2012" s="17" t="s">
        <v>6944</v>
      </c>
      <c r="S2012" s="12"/>
      <c r="T2012" s="12"/>
      <c r="U2012" s="10" t="str">
        <f>HYPERLINK("https://pbs.twimg.com/profile_images/426624662903459840/JOv7XaFq.jpeg","View")</f>
        <v>View</v>
      </c>
    </row>
    <row r="2013" spans="1:21" ht="40.799999999999997">
      <c r="A2013" s="6">
        <v>43436.978796296295</v>
      </c>
      <c r="B2013" s="7" t="str">
        <f>HYPERLINK("https://twitter.com/CarlosyAndaluz","@CarlosyAndaluz")</f>
        <v>@CarlosyAndaluz</v>
      </c>
      <c r="C2013" s="8" t="s">
        <v>6287</v>
      </c>
      <c r="D2013" s="9" t="s">
        <v>6945</v>
      </c>
      <c r="E2013" s="10" t="str">
        <f>HYPERLINK("https://twitter.com/CarlosyAndaluz/status/1069357912873738240","1069357912873738240")</f>
        <v>1069357912873738240</v>
      </c>
      <c r="F2013" s="12"/>
      <c r="G2013" s="12"/>
      <c r="H2013" s="12"/>
      <c r="I2013" s="13">
        <v>0</v>
      </c>
      <c r="J2013" s="13">
        <v>0</v>
      </c>
      <c r="K2013" s="14" t="str">
        <f>HYPERLINK("https://about.twitter.com/products/tweetdeck","TweetDeck")</f>
        <v>TweetDeck</v>
      </c>
      <c r="L2013" s="13">
        <v>3282</v>
      </c>
      <c r="M2013" s="13">
        <v>2809</v>
      </c>
      <c r="N2013" s="13">
        <v>41</v>
      </c>
      <c r="O2013" s="15"/>
      <c r="P2013" s="6">
        <v>40692.512337962966</v>
      </c>
      <c r="Q2013" s="16" t="s">
        <v>583</v>
      </c>
      <c r="R2013" s="17" t="s">
        <v>6289</v>
      </c>
      <c r="S2013" s="11" t="s">
        <v>6290</v>
      </c>
      <c r="T2013" s="12"/>
      <c r="U2013" s="10" t="str">
        <f>HYPERLINK("https://pbs.twimg.com/profile_images/1069617575171117056/DoHtI4ro.jpg","View")</f>
        <v>View</v>
      </c>
    </row>
    <row r="2014" spans="1:21" ht="30.6">
      <c r="A2014" s="6">
        <v>43436.978761574079</v>
      </c>
      <c r="B2014" s="7" t="str">
        <f>HYPERLINK("https://twitter.com/GuilleLeftish","@GuilleLeftish")</f>
        <v>@GuilleLeftish</v>
      </c>
      <c r="C2014" s="8" t="s">
        <v>6743</v>
      </c>
      <c r="D2014" s="9" t="s">
        <v>6946</v>
      </c>
      <c r="E2014" s="10" t="str">
        <f>HYPERLINK("https://twitter.com/GuilleLeftish/status/1069357899598704640","1069357899598704640")</f>
        <v>1069357899598704640</v>
      </c>
      <c r="F2014" s="12"/>
      <c r="G2014" s="12"/>
      <c r="H2014" s="12"/>
      <c r="I2014" s="13">
        <v>0</v>
      </c>
      <c r="J2014" s="13">
        <v>1</v>
      </c>
      <c r="K2014" s="14" t="str">
        <f t="shared" ref="K2014:K2015" si="354">HYPERLINK("http://twitter.com/download/android","Twitter for Android")</f>
        <v>Twitter for Android</v>
      </c>
      <c r="L2014" s="13">
        <v>1381</v>
      </c>
      <c r="M2014" s="13">
        <v>989</v>
      </c>
      <c r="N2014" s="13">
        <v>44</v>
      </c>
      <c r="O2014" s="15"/>
      <c r="P2014" s="6">
        <v>40770.964826388888</v>
      </c>
      <c r="Q2014" s="16" t="s">
        <v>191</v>
      </c>
      <c r="R2014" s="17" t="s">
        <v>6748</v>
      </c>
      <c r="S2014" s="12"/>
      <c r="T2014" s="12"/>
      <c r="U2014" s="10" t="str">
        <f>HYPERLINK("https://pbs.twimg.com/profile_images/899191837998682112/NzwzAmyW.jpg","View")</f>
        <v>View</v>
      </c>
    </row>
    <row r="2015" spans="1:21" ht="40.799999999999997">
      <c r="A2015" s="6">
        <v>43436.978749999995</v>
      </c>
      <c r="B2015" s="7" t="str">
        <f>HYPERLINK("https://twitter.com/Glorfindel_III","@Glorfindel_III")</f>
        <v>@Glorfindel_III</v>
      </c>
      <c r="C2015" s="8" t="s">
        <v>1592</v>
      </c>
      <c r="D2015" s="9" t="s">
        <v>6947</v>
      </c>
      <c r="E2015" s="10" t="str">
        <f>HYPERLINK("https://twitter.com/Glorfindel_III/status/1069357895391813632","1069357895391813632")</f>
        <v>1069357895391813632</v>
      </c>
      <c r="F2015" s="12"/>
      <c r="G2015" s="12"/>
      <c r="H2015" s="12"/>
      <c r="I2015" s="13">
        <v>0</v>
      </c>
      <c r="J2015" s="13">
        <v>0</v>
      </c>
      <c r="K2015" s="14" t="str">
        <f t="shared" si="354"/>
        <v>Twitter for Android</v>
      </c>
      <c r="L2015" s="13">
        <v>804</v>
      </c>
      <c r="M2015" s="13">
        <v>662</v>
      </c>
      <c r="N2015" s="13">
        <v>44</v>
      </c>
      <c r="O2015" s="15"/>
      <c r="P2015" s="6">
        <v>40453.03396990741</v>
      </c>
      <c r="Q2015" s="16" t="s">
        <v>1595</v>
      </c>
      <c r="R2015" s="17" t="s">
        <v>1596</v>
      </c>
      <c r="S2015" s="12"/>
      <c r="T2015" s="12"/>
      <c r="U2015" s="10" t="str">
        <f>HYPERLINK("https://pbs.twimg.com/profile_images/1706626696/image.jpg","View")</f>
        <v>View</v>
      </c>
    </row>
    <row r="2016" spans="1:21" ht="40.799999999999997">
      <c r="A2016" s="6">
        <v>43436.978749999995</v>
      </c>
      <c r="B2016" s="7" t="str">
        <f>HYPERLINK("https://twitter.com/The____Dude_","@The____Dude_")</f>
        <v>@The____Dude_</v>
      </c>
      <c r="C2016" s="8" t="s">
        <v>6948</v>
      </c>
      <c r="D2016" s="9" t="s">
        <v>6949</v>
      </c>
      <c r="E2016" s="10" t="str">
        <f>HYPERLINK("https://twitter.com/The____Dude_/status/1069357895085670403","1069357895085670403")</f>
        <v>1069357895085670403</v>
      </c>
      <c r="F2016" s="12"/>
      <c r="G2016" s="12"/>
      <c r="H2016" s="12"/>
      <c r="I2016" s="13">
        <v>0</v>
      </c>
      <c r="J2016" s="13">
        <v>1</v>
      </c>
      <c r="K2016" s="14" t="str">
        <f>HYPERLINK("http://twitter.com","Twitter Web Client")</f>
        <v>Twitter Web Client</v>
      </c>
      <c r="L2016" s="13">
        <v>682</v>
      </c>
      <c r="M2016" s="13">
        <v>735</v>
      </c>
      <c r="N2016" s="13">
        <v>4</v>
      </c>
      <c r="O2016" s="15"/>
      <c r="P2016" s="6">
        <v>41077.888414351852</v>
      </c>
      <c r="Q2016" s="16" t="s">
        <v>6950</v>
      </c>
      <c r="R2016" s="17" t="s">
        <v>6951</v>
      </c>
      <c r="S2016" s="12"/>
      <c r="T2016" s="12"/>
      <c r="U2016" s="10" t="str">
        <f>HYPERLINK("https://pbs.twimg.com/profile_images/1069365769786527745/OMh9zTw7.jpg","View")</f>
        <v>View</v>
      </c>
    </row>
    <row r="2017" spans="1:21" ht="40.799999999999997">
      <c r="A2017" s="6">
        <v>43436.978726851856</v>
      </c>
      <c r="B2017" s="7" t="str">
        <f>HYPERLINK("https://twitter.com/BigThanke","@BigThanke")</f>
        <v>@BigThanke</v>
      </c>
      <c r="C2017" s="8" t="s">
        <v>6499</v>
      </c>
      <c r="D2017" s="9" t="s">
        <v>6952</v>
      </c>
      <c r="E2017" s="10" t="str">
        <f>HYPERLINK("https://twitter.com/BigThanke/status/1069357887795924992","1069357887795924992")</f>
        <v>1069357887795924992</v>
      </c>
      <c r="F2017" s="12"/>
      <c r="G2017" s="12"/>
      <c r="H2017" s="12"/>
      <c r="I2017" s="13">
        <v>0</v>
      </c>
      <c r="J2017" s="13">
        <v>0</v>
      </c>
      <c r="K2017" s="14" t="str">
        <f>HYPERLINK("http://twitter.com/#!/download/ipad","Twitter for iPad")</f>
        <v>Twitter for iPad</v>
      </c>
      <c r="L2017" s="13">
        <v>70</v>
      </c>
      <c r="M2017" s="13">
        <v>118</v>
      </c>
      <c r="N2017" s="13">
        <v>4</v>
      </c>
      <c r="O2017" s="15"/>
      <c r="P2017" s="6">
        <v>40278.802152777775</v>
      </c>
      <c r="Q2017" s="16" t="s">
        <v>96</v>
      </c>
      <c r="R2017" s="17" t="s">
        <v>6501</v>
      </c>
      <c r="S2017" s="12"/>
      <c r="T2017" s="12"/>
      <c r="U2017" s="10" t="str">
        <f>HYPERLINK("https://pbs.twimg.com/profile_images/1063625698261303298/7nW0m8uG.jpg","View")</f>
        <v>View</v>
      </c>
    </row>
    <row r="2018" spans="1:21" ht="20.399999999999999">
      <c r="A2018" s="6">
        <v>43436.978726851856</v>
      </c>
      <c r="B2018" s="7" t="str">
        <f>HYPERLINK("https://twitter.com/Cris_Fullbuster","@Cris_Fullbuster")</f>
        <v>@Cris_Fullbuster</v>
      </c>
      <c r="C2018" s="8" t="s">
        <v>6953</v>
      </c>
      <c r="D2018" s="9" t="s">
        <v>6954</v>
      </c>
      <c r="E2018" s="10" t="str">
        <f>HYPERLINK("https://twitter.com/Cris_Fullbuster/status/1069357884964855809","1069357884964855809")</f>
        <v>1069357884964855809</v>
      </c>
      <c r="F2018" s="12"/>
      <c r="G2018" s="12"/>
      <c r="H2018" s="12"/>
      <c r="I2018" s="13">
        <v>0</v>
      </c>
      <c r="J2018" s="13">
        <v>0</v>
      </c>
      <c r="K2018" s="14" t="str">
        <f t="shared" ref="K2018:K2019" si="355">HYPERLINK("http://twitter.com","Twitter Web Client")</f>
        <v>Twitter Web Client</v>
      </c>
      <c r="L2018" s="13">
        <v>740</v>
      </c>
      <c r="M2018" s="13">
        <v>873</v>
      </c>
      <c r="N2018" s="13">
        <v>20</v>
      </c>
      <c r="O2018" s="15"/>
      <c r="P2018" s="6">
        <v>40615.804027777776</v>
      </c>
      <c r="Q2018" s="16" t="s">
        <v>6955</v>
      </c>
      <c r="R2018" s="17" t="s">
        <v>6956</v>
      </c>
      <c r="S2018" s="11" t="s">
        <v>6957</v>
      </c>
      <c r="T2018" s="12"/>
      <c r="U2018" s="10" t="str">
        <f>HYPERLINK("https://pbs.twimg.com/profile_images/1071210102940680192/2aeH75bB.jpg","View")</f>
        <v>View</v>
      </c>
    </row>
    <row r="2019" spans="1:21" ht="40.799999999999997">
      <c r="A2019" s="6">
        <v>43436.978692129633</v>
      </c>
      <c r="B2019" s="7" t="str">
        <f>HYPERLINK("https://twitter.com/AgusUtopia","@AgusUtopia")</f>
        <v>@AgusUtopia</v>
      </c>
      <c r="C2019" s="8" t="s">
        <v>6958</v>
      </c>
      <c r="D2019" s="9" t="s">
        <v>6959</v>
      </c>
      <c r="E2019" s="10" t="str">
        <f>HYPERLINK("https://twitter.com/AgusUtopia/status/1069357874340642817","1069357874340642817")</f>
        <v>1069357874340642817</v>
      </c>
      <c r="F2019" s="12"/>
      <c r="G2019" s="12"/>
      <c r="H2019" s="12"/>
      <c r="I2019" s="13">
        <v>0</v>
      </c>
      <c r="J2019" s="13">
        <v>0</v>
      </c>
      <c r="K2019" s="14" t="str">
        <f t="shared" si="355"/>
        <v>Twitter Web Client</v>
      </c>
      <c r="L2019" s="13">
        <v>1504</v>
      </c>
      <c r="M2019" s="13">
        <v>2166</v>
      </c>
      <c r="N2019" s="13">
        <v>17</v>
      </c>
      <c r="O2019" s="15"/>
      <c r="P2019" s="6">
        <v>40209.611689814818</v>
      </c>
      <c r="Q2019" s="16" t="s">
        <v>48</v>
      </c>
      <c r="R2019" s="17" t="s">
        <v>6960</v>
      </c>
      <c r="S2019" s="12"/>
      <c r="T2019" s="12"/>
      <c r="U2019" s="10" t="str">
        <f>HYPERLINK("https://pbs.twimg.com/profile_images/974988923461042177/qKDkZppv.jpg","View")</f>
        <v>View</v>
      </c>
    </row>
    <row r="2020" spans="1:21" ht="20.399999999999999">
      <c r="A2020" s="6">
        <v>43436.978680555556</v>
      </c>
      <c r="B2020" s="7" t="str">
        <f>HYPERLINK("https://twitter.com/pablo_waze","@pablo_waze")</f>
        <v>@pablo_waze</v>
      </c>
      <c r="C2020" s="8" t="s">
        <v>6961</v>
      </c>
      <c r="D2020" s="9" t="s">
        <v>6962</v>
      </c>
      <c r="E2020" s="10" t="str">
        <f>HYPERLINK("https://twitter.com/pablo_waze/status/1069357871752728583","1069357871752728583")</f>
        <v>1069357871752728583</v>
      </c>
      <c r="F2020" s="12"/>
      <c r="G2020" s="12"/>
      <c r="H2020" s="12"/>
      <c r="I2020" s="13">
        <v>0</v>
      </c>
      <c r="J2020" s="13">
        <v>3</v>
      </c>
      <c r="K2020" s="14" t="str">
        <f t="shared" ref="K2020:K2021" si="356">HYPERLINK("http://twitter.com/download/android","Twitter for Android")</f>
        <v>Twitter for Android</v>
      </c>
      <c r="L2020" s="13">
        <v>145</v>
      </c>
      <c r="M2020" s="13">
        <v>218</v>
      </c>
      <c r="N2020" s="13">
        <v>0</v>
      </c>
      <c r="O2020" s="15"/>
      <c r="P2020" s="6">
        <v>41604.793506944443</v>
      </c>
      <c r="Q2020" s="16" t="s">
        <v>6963</v>
      </c>
      <c r="R2020" s="17" t="s">
        <v>6964</v>
      </c>
      <c r="S2020" s="11" t="s">
        <v>6965</v>
      </c>
      <c r="T2020" s="12"/>
      <c r="U2020" s="10" t="str">
        <f>HYPERLINK("https://pbs.twimg.com/profile_images/1068627481048084482/ouKzJ71e.jpg","View")</f>
        <v>View</v>
      </c>
    </row>
    <row r="2021" spans="1:21" ht="40.799999999999997">
      <c r="A2021" s="6">
        <v>43436.978680555556</v>
      </c>
      <c r="B2021" s="7" t="str">
        <f>HYPERLINK("https://twitter.com/inesgcaballo","@inesgcaballo")</f>
        <v>@inesgcaballo</v>
      </c>
      <c r="C2021" s="8" t="s">
        <v>6664</v>
      </c>
      <c r="D2021" s="9" t="s">
        <v>6966</v>
      </c>
      <c r="E2021" s="10" t="str">
        <f>HYPERLINK("https://twitter.com/inesgcaballo/status/1069357870859337728","1069357870859337728")</f>
        <v>1069357870859337728</v>
      </c>
      <c r="F2021" s="12"/>
      <c r="G2021" s="12"/>
      <c r="H2021" s="12"/>
      <c r="I2021" s="13">
        <v>1</v>
      </c>
      <c r="J2021" s="13">
        <v>3</v>
      </c>
      <c r="K2021" s="14" t="str">
        <f t="shared" si="356"/>
        <v>Twitter for Android</v>
      </c>
      <c r="L2021" s="13">
        <v>16702</v>
      </c>
      <c r="M2021" s="13">
        <v>7879</v>
      </c>
      <c r="N2021" s="13">
        <v>350</v>
      </c>
      <c r="O2021" s="15"/>
      <c r="P2021" s="6">
        <v>40226.709699074076</v>
      </c>
      <c r="Q2021" s="16" t="s">
        <v>232</v>
      </c>
      <c r="R2021" s="17" t="s">
        <v>6666</v>
      </c>
      <c r="S2021" s="11" t="s">
        <v>6667</v>
      </c>
      <c r="T2021" s="12"/>
      <c r="U2021" s="10" t="str">
        <f>HYPERLINK("https://pbs.twimg.com/profile_images/971996213133262850/2GJ2xppF.jpg","View")</f>
        <v>View</v>
      </c>
    </row>
    <row r="2022" spans="1:21" ht="13.2">
      <c r="A2022" s="6">
        <v>43436.978668981479</v>
      </c>
      <c r="B2022" s="7" t="str">
        <f>HYPERLINK("https://twitter.com/110010010011010","@110010010011010")</f>
        <v>@110010010011010</v>
      </c>
      <c r="C2022" s="8" t="s">
        <v>6152</v>
      </c>
      <c r="D2022" s="9" t="s">
        <v>6967</v>
      </c>
      <c r="E2022" s="10" t="str">
        <f>HYPERLINK("https://twitter.com/110010010011010/status/1069357865062858752","1069357865062858752")</f>
        <v>1069357865062858752</v>
      </c>
      <c r="F2022" s="12"/>
      <c r="G2022" s="12"/>
      <c r="H2022" s="12"/>
      <c r="I2022" s="13">
        <v>0</v>
      </c>
      <c r="J2022" s="13">
        <v>0</v>
      </c>
      <c r="K2022" s="14" t="str">
        <f>HYPERLINK("https://about.twitter.com/products/tweetdeck","TweetDeck")</f>
        <v>TweetDeck</v>
      </c>
      <c r="L2022" s="13">
        <v>9565</v>
      </c>
      <c r="M2022" s="13">
        <v>1579</v>
      </c>
      <c r="N2022" s="13">
        <v>262</v>
      </c>
      <c r="O2022" s="15"/>
      <c r="P2022" s="6">
        <v>40491.697685185187</v>
      </c>
      <c r="Q2022" s="16" t="s">
        <v>6154</v>
      </c>
      <c r="R2022" s="17" t="s">
        <v>6155</v>
      </c>
      <c r="S2022" s="12"/>
      <c r="T2022" s="12"/>
      <c r="U2022" s="10" t="str">
        <f>HYPERLINK("https://pbs.twimg.com/profile_images/1059042232492285952/qfOsejX9.jpg","View")</f>
        <v>View</v>
      </c>
    </row>
    <row r="2023" spans="1:21" ht="30.6">
      <c r="A2023" s="6">
        <v>43436.978587962964</v>
      </c>
      <c r="B2023" s="7" t="str">
        <f>HYPERLINK("https://twitter.com/Lure_zazpi","@Lure_zazpi")</f>
        <v>@Lure_zazpi</v>
      </c>
      <c r="C2023" s="8" t="s">
        <v>6968</v>
      </c>
      <c r="D2023" s="9" t="s">
        <v>6969</v>
      </c>
      <c r="E2023" s="10" t="str">
        <f>HYPERLINK("https://twitter.com/Lure_zazpi/status/1069357836243738630","1069357836243738630")</f>
        <v>1069357836243738630</v>
      </c>
      <c r="F2023" s="12"/>
      <c r="G2023" s="12"/>
      <c r="H2023" s="12"/>
      <c r="I2023" s="13">
        <v>0</v>
      </c>
      <c r="J2023" s="13">
        <v>0</v>
      </c>
      <c r="K2023" s="14" t="str">
        <f t="shared" ref="K2023:K2024" si="357">HYPERLINK("http://twitter.com/download/android","Twitter for Android")</f>
        <v>Twitter for Android</v>
      </c>
      <c r="L2023" s="13">
        <v>12</v>
      </c>
      <c r="M2023" s="13">
        <v>372</v>
      </c>
      <c r="N2023" s="13">
        <v>0</v>
      </c>
      <c r="O2023" s="15"/>
      <c r="P2023" s="6">
        <v>42882.390706018516</v>
      </c>
      <c r="Q2023" s="12"/>
      <c r="R2023" s="20"/>
      <c r="S2023" s="12"/>
      <c r="T2023" s="12"/>
      <c r="U2023" s="10" t="str">
        <f>HYPERLINK("https://pbs.twimg.com/profile_images/868369087906361344/RUeMV5jg.jpg","View")</f>
        <v>View</v>
      </c>
    </row>
    <row r="2024" spans="1:21" ht="30.6">
      <c r="A2024" s="6">
        <v>43436.978518518517</v>
      </c>
      <c r="B2024" s="7" t="str">
        <f>HYPERLINK("https://twitter.com/educrego","@educrego")</f>
        <v>@educrego</v>
      </c>
      <c r="C2024" s="8" t="s">
        <v>6970</v>
      </c>
      <c r="D2024" s="9" t="s">
        <v>6971</v>
      </c>
      <c r="E2024" s="10" t="str">
        <f>HYPERLINK("https://twitter.com/educrego/status/1069357812898250752","1069357812898250752")</f>
        <v>1069357812898250752</v>
      </c>
      <c r="F2024" s="12"/>
      <c r="G2024" s="11" t="s">
        <v>6972</v>
      </c>
      <c r="H2024" s="12"/>
      <c r="I2024" s="13">
        <v>0</v>
      </c>
      <c r="J2024" s="13">
        <v>0</v>
      </c>
      <c r="K2024" s="14" t="str">
        <f t="shared" si="357"/>
        <v>Twitter for Android</v>
      </c>
      <c r="L2024" s="13">
        <v>464</v>
      </c>
      <c r="M2024" s="13">
        <v>380</v>
      </c>
      <c r="N2024" s="13">
        <v>33</v>
      </c>
      <c r="O2024" s="15"/>
      <c r="P2024" s="6">
        <v>39565.528171296297</v>
      </c>
      <c r="Q2024" s="16" t="s">
        <v>565</v>
      </c>
      <c r="R2024" s="17" t="s">
        <v>6973</v>
      </c>
      <c r="S2024" s="12"/>
      <c r="T2024" s="12"/>
      <c r="U2024" s="10" t="str">
        <f>HYPERLINK("https://pbs.twimg.com/profile_images/898467116155908097/rrStspVF.jpg","View")</f>
        <v>View</v>
      </c>
    </row>
    <row r="2025" spans="1:21" ht="20.399999999999999">
      <c r="A2025" s="6">
        <v>43436.978518518517</v>
      </c>
      <c r="B2025" s="7" t="str">
        <f>HYPERLINK("https://twitter.com/LandinMarta","@LandinMarta")</f>
        <v>@LandinMarta</v>
      </c>
      <c r="C2025" s="8" t="s">
        <v>6974</v>
      </c>
      <c r="D2025" s="9" t="s">
        <v>6975</v>
      </c>
      <c r="E2025" s="10" t="str">
        <f>HYPERLINK("https://twitter.com/LandinMarta/status/1069357809446330370","1069357809446330370")</f>
        <v>1069357809446330370</v>
      </c>
      <c r="F2025" s="12"/>
      <c r="G2025" s="12"/>
      <c r="H2025" s="12"/>
      <c r="I2025" s="13">
        <v>0</v>
      </c>
      <c r="J2025" s="13">
        <v>1</v>
      </c>
      <c r="K2025" s="14" t="str">
        <f>HYPERLINK("http://twitter.com/download/iphone","Twitter for iPhone")</f>
        <v>Twitter for iPhone</v>
      </c>
      <c r="L2025" s="13">
        <v>3464</v>
      </c>
      <c r="M2025" s="13">
        <v>1439</v>
      </c>
      <c r="N2025" s="13">
        <v>95</v>
      </c>
      <c r="O2025" s="15"/>
      <c r="P2025" s="6">
        <v>40067.552708333329</v>
      </c>
      <c r="Q2025" s="16" t="s">
        <v>191</v>
      </c>
      <c r="R2025" s="17" t="s">
        <v>6976</v>
      </c>
      <c r="S2025" s="12"/>
      <c r="T2025" s="12"/>
      <c r="U2025" s="10" t="str">
        <f>HYPERLINK("https://pbs.twimg.com/profile_images/416187054/MARTA_LAND_N.jpg","View")</f>
        <v>View</v>
      </c>
    </row>
    <row r="2026" spans="1:21" ht="20.399999999999999">
      <c r="A2026" s="6">
        <v>43436.978506944448</v>
      </c>
      <c r="B2026" s="7" t="str">
        <f>HYPERLINK("https://twitter.com/yepayei","@yepayei")</f>
        <v>@yepayei</v>
      </c>
      <c r="C2026" s="8" t="s">
        <v>6977</v>
      </c>
      <c r="D2026" s="9" t="s">
        <v>6978</v>
      </c>
      <c r="E2026" s="10" t="str">
        <f>HYPERLINK("https://twitter.com/yepayei/status/1069357808582356993","1069357808582356993")</f>
        <v>1069357808582356993</v>
      </c>
      <c r="F2026" s="12"/>
      <c r="G2026" s="12"/>
      <c r="H2026" s="12"/>
      <c r="I2026" s="13">
        <v>0</v>
      </c>
      <c r="J2026" s="13">
        <v>0</v>
      </c>
      <c r="K2026" s="14" t="str">
        <f t="shared" ref="K2026:K2027" si="358">HYPERLINK("https://mobile.twitter.com","Twitter Lite")</f>
        <v>Twitter Lite</v>
      </c>
      <c r="L2026" s="13">
        <v>150</v>
      </c>
      <c r="M2026" s="13">
        <v>381</v>
      </c>
      <c r="N2026" s="13">
        <v>4</v>
      </c>
      <c r="O2026" s="15"/>
      <c r="P2026" s="6">
        <v>41053.750625000001</v>
      </c>
      <c r="Q2026" s="12"/>
      <c r="R2026" s="20"/>
      <c r="S2026" s="12"/>
      <c r="T2026" s="12"/>
      <c r="U2026" s="10" t="str">
        <f>HYPERLINK("https://pbs.twimg.com/profile_images/915667152253923330/fX1cAD8T.jpg","View")</f>
        <v>View</v>
      </c>
    </row>
    <row r="2027" spans="1:21" ht="30.6">
      <c r="A2027" s="6">
        <v>43436.978460648148</v>
      </c>
      <c r="B2027" s="7" t="str">
        <f>HYPERLINK("https://twitter.com/Barbara_Reynoso","@Barbara_Reynoso")</f>
        <v>@Barbara_Reynoso</v>
      </c>
      <c r="C2027" s="8" t="s">
        <v>6979</v>
      </c>
      <c r="D2027" s="9" t="s">
        <v>6980</v>
      </c>
      <c r="E2027" s="10" t="str">
        <f>HYPERLINK("https://twitter.com/Barbara_Reynoso/status/1069357789535969286","1069357789535969286")</f>
        <v>1069357789535969286</v>
      </c>
      <c r="F2027" s="12"/>
      <c r="G2027" s="12"/>
      <c r="H2027" s="12"/>
      <c r="I2027" s="13">
        <v>0</v>
      </c>
      <c r="J2027" s="13">
        <v>0</v>
      </c>
      <c r="K2027" s="14" t="str">
        <f t="shared" si="358"/>
        <v>Twitter Lite</v>
      </c>
      <c r="L2027" s="13">
        <v>576</v>
      </c>
      <c r="M2027" s="13">
        <v>415</v>
      </c>
      <c r="N2027" s="13">
        <v>10</v>
      </c>
      <c r="O2027" s="15"/>
      <c r="P2027" s="6">
        <v>40619.659548611111</v>
      </c>
      <c r="Q2027" s="16" t="s">
        <v>6981</v>
      </c>
      <c r="R2027" s="17" t="s">
        <v>6982</v>
      </c>
      <c r="S2027" s="11" t="s">
        <v>6983</v>
      </c>
      <c r="T2027" s="12"/>
      <c r="U2027" s="10" t="str">
        <f>HYPERLINK("https://pbs.twimg.com/profile_images/1031444680444207104/QVaZu6HT.jpg","View")</f>
        <v>View</v>
      </c>
    </row>
    <row r="2028" spans="1:21" ht="20.399999999999999">
      <c r="A2028" s="6">
        <v>43436.978460648148</v>
      </c>
      <c r="B2028" s="7" t="str">
        <f>HYPERLINK("https://twitter.com/stripmamind","@stripmamind")</f>
        <v>@stripmamind</v>
      </c>
      <c r="C2028" s="8" t="s">
        <v>6984</v>
      </c>
      <c r="D2028" s="9" t="s">
        <v>6985</v>
      </c>
      <c r="E2028" s="10" t="str">
        <f>HYPERLINK("https://twitter.com/stripmamind/status/1069357788277673985","1069357788277673985")</f>
        <v>1069357788277673985</v>
      </c>
      <c r="F2028" s="12"/>
      <c r="G2028" s="12"/>
      <c r="H2028" s="12"/>
      <c r="I2028" s="13">
        <v>0</v>
      </c>
      <c r="J2028" s="13">
        <v>0</v>
      </c>
      <c r="K2028" s="14" t="str">
        <f t="shared" ref="K2028:K2029" si="359">HYPERLINK("http://twitter.com/download/android","Twitter for Android")</f>
        <v>Twitter for Android</v>
      </c>
      <c r="L2028" s="13">
        <v>279</v>
      </c>
      <c r="M2028" s="13">
        <v>186</v>
      </c>
      <c r="N2028" s="13">
        <v>1</v>
      </c>
      <c r="O2028" s="15"/>
      <c r="P2028" s="6">
        <v>41760.398333333331</v>
      </c>
      <c r="Q2028" s="16" t="s">
        <v>6986</v>
      </c>
      <c r="R2028" s="17" t="s">
        <v>6987</v>
      </c>
      <c r="S2028" s="11" t="s">
        <v>6988</v>
      </c>
      <c r="T2028" s="12"/>
      <c r="U2028" s="10" t="str">
        <f>HYPERLINK("https://pbs.twimg.com/profile_images/1018613909740249088/gYPvG6yf.jpg","View")</f>
        <v>View</v>
      </c>
    </row>
    <row r="2029" spans="1:21" ht="40.799999999999997">
      <c r="A2029" s="6">
        <v>43436.978414351848</v>
      </c>
      <c r="B2029" s="7" t="str">
        <f>HYPERLINK("https://twitter.com/juanca_sev","@juanca_sev")</f>
        <v>@juanca_sev</v>
      </c>
      <c r="C2029" s="8" t="s">
        <v>6733</v>
      </c>
      <c r="D2029" s="9" t="s">
        <v>6990</v>
      </c>
      <c r="E2029" s="10" t="str">
        <f>HYPERLINK("https://twitter.com/juanca_sev/status/1069357772335194112","1069357772335194112")</f>
        <v>1069357772335194112</v>
      </c>
      <c r="F2029" s="12"/>
      <c r="G2029" s="12"/>
      <c r="H2029" s="12"/>
      <c r="I2029" s="13">
        <v>0</v>
      </c>
      <c r="J2029" s="13">
        <v>0</v>
      </c>
      <c r="K2029" s="14" t="str">
        <f t="shared" si="359"/>
        <v>Twitter for Android</v>
      </c>
      <c r="L2029" s="13">
        <v>2462</v>
      </c>
      <c r="M2029" s="13">
        <v>1011</v>
      </c>
      <c r="N2029" s="13">
        <v>69</v>
      </c>
      <c r="O2029" s="15"/>
      <c r="P2029" s="6">
        <v>40062.090787037036</v>
      </c>
      <c r="Q2029" s="16" t="s">
        <v>6736</v>
      </c>
      <c r="R2029" s="17" t="s">
        <v>6737</v>
      </c>
      <c r="S2029" s="11" t="s">
        <v>6738</v>
      </c>
      <c r="T2029" s="12"/>
      <c r="U2029" s="10" t="str">
        <f>HYPERLINK("https://pbs.twimg.com/profile_images/1069397245102051328/jiJnVPrU.jpg","View")</f>
        <v>View</v>
      </c>
    </row>
    <row r="2030" spans="1:21" ht="20.399999999999999">
      <c r="A2030" s="6">
        <v>43436.978391203702</v>
      </c>
      <c r="B2030" s="7" t="str">
        <f>HYPERLINK("https://twitter.com/_1paco_","@_1paco_")</f>
        <v>@_1paco_</v>
      </c>
      <c r="C2030" s="8" t="s">
        <v>6991</v>
      </c>
      <c r="D2030" s="9" t="s">
        <v>6992</v>
      </c>
      <c r="E2030" s="10" t="str">
        <f>HYPERLINK("https://twitter.com/_1paco_/status/1069357764483403776","1069357764483403776")</f>
        <v>1069357764483403776</v>
      </c>
      <c r="F2030" s="12"/>
      <c r="G2030" s="12"/>
      <c r="H2030" s="12"/>
      <c r="I2030" s="13">
        <v>0</v>
      </c>
      <c r="J2030" s="13">
        <v>0</v>
      </c>
      <c r="K2030" s="14" t="str">
        <f t="shared" ref="K2030:K2031" si="360">HYPERLINK("http://twitter.com","Twitter Web Client")</f>
        <v>Twitter Web Client</v>
      </c>
      <c r="L2030" s="13">
        <v>113</v>
      </c>
      <c r="M2030" s="13">
        <v>76</v>
      </c>
      <c r="N2030" s="13">
        <v>7</v>
      </c>
      <c r="O2030" s="15"/>
      <c r="P2030" s="6">
        <v>41324.445879629631</v>
      </c>
      <c r="Q2030" s="16" t="s">
        <v>6993</v>
      </c>
      <c r="R2030" s="17" t="s">
        <v>6994</v>
      </c>
      <c r="S2030" s="12"/>
      <c r="T2030" s="12"/>
      <c r="U2030" s="10" t="str">
        <f>HYPERLINK("https://pbs.twimg.com/profile_images/775824083002990592/y6fxG7j-.jpg","View")</f>
        <v>View</v>
      </c>
    </row>
    <row r="2031" spans="1:21" ht="20.399999999999999">
      <c r="A2031" s="6">
        <v>43436.978356481486</v>
      </c>
      <c r="B2031" s="7" t="str">
        <f>HYPERLINK("https://twitter.com/_davidrr_","@_davidrr_")</f>
        <v>@_davidrr_</v>
      </c>
      <c r="C2031" s="8" t="s">
        <v>3178</v>
      </c>
      <c r="D2031" s="9" t="s">
        <v>6995</v>
      </c>
      <c r="E2031" s="10" t="str">
        <f>HYPERLINK("https://twitter.com/_davidrr_/status/1069357752382832640","1069357752382832640")</f>
        <v>1069357752382832640</v>
      </c>
      <c r="F2031" s="12"/>
      <c r="G2031" s="12"/>
      <c r="H2031" s="12"/>
      <c r="I2031" s="13">
        <v>0</v>
      </c>
      <c r="J2031" s="13">
        <v>1</v>
      </c>
      <c r="K2031" s="14" t="str">
        <f t="shared" si="360"/>
        <v>Twitter Web Client</v>
      </c>
      <c r="L2031" s="13">
        <v>736</v>
      </c>
      <c r="M2031" s="13">
        <v>260</v>
      </c>
      <c r="N2031" s="13">
        <v>10</v>
      </c>
      <c r="O2031" s="15"/>
      <c r="P2031" s="6">
        <v>40400.558761574073</v>
      </c>
      <c r="Q2031" s="16" t="s">
        <v>6996</v>
      </c>
      <c r="R2031" s="17" t="s">
        <v>6997</v>
      </c>
      <c r="S2031" s="12"/>
      <c r="T2031" s="12"/>
      <c r="U2031" s="10" t="str">
        <f>HYPERLINK("https://pbs.twimg.com/profile_images/1058365273961566208/ANUipbmo.jpg","View")</f>
        <v>View</v>
      </c>
    </row>
    <row r="2032" spans="1:21" ht="40.799999999999997">
      <c r="A2032" s="6">
        <v>43436.97824074074</v>
      </c>
      <c r="B2032" s="7" t="str">
        <f>HYPERLINK("https://twitter.com/josuefumero","@josuefumero")</f>
        <v>@josuefumero</v>
      </c>
      <c r="C2032" s="8" t="s">
        <v>6998</v>
      </c>
      <c r="D2032" s="9" t="s">
        <v>6999</v>
      </c>
      <c r="E2032" s="10" t="str">
        <f>HYPERLINK("https://twitter.com/josuefumero/status/1069357710745968643","1069357710745968643")</f>
        <v>1069357710745968643</v>
      </c>
      <c r="F2032" s="12"/>
      <c r="G2032" s="12"/>
      <c r="H2032" s="12"/>
      <c r="I2032" s="13">
        <v>1</v>
      </c>
      <c r="J2032" s="13">
        <v>9</v>
      </c>
      <c r="K2032" s="14" t="str">
        <f>HYPERLINK("http://twitter.com/download/iphone","Twitter for iPhone")</f>
        <v>Twitter for iPhone</v>
      </c>
      <c r="L2032" s="13">
        <v>4712</v>
      </c>
      <c r="M2032" s="13">
        <v>3851</v>
      </c>
      <c r="N2032" s="13">
        <v>234</v>
      </c>
      <c r="O2032" s="15"/>
      <c r="P2032" s="6">
        <v>40080.457337962966</v>
      </c>
      <c r="Q2032" s="16" t="s">
        <v>7000</v>
      </c>
      <c r="R2032" s="17" t="s">
        <v>7001</v>
      </c>
      <c r="S2032" s="11" t="s">
        <v>7002</v>
      </c>
      <c r="T2032" s="12"/>
      <c r="U2032" s="10" t="str">
        <f>HYPERLINK("https://pbs.twimg.com/profile_images/1018190484919980035/yfsk0dgc.jpg","View")</f>
        <v>View</v>
      </c>
    </row>
    <row r="2033" spans="1:21" ht="20.399999999999999">
      <c r="A2033" s="6">
        <v>43436.978217592594</v>
      </c>
      <c r="B2033" s="7" t="str">
        <f>HYPERLINK("https://twitter.com/Piruletadementa","@Piruletadementa")</f>
        <v>@Piruletadementa</v>
      </c>
      <c r="C2033" s="8" t="s">
        <v>7003</v>
      </c>
      <c r="D2033" s="9" t="s">
        <v>7004</v>
      </c>
      <c r="E2033" s="10" t="str">
        <f>HYPERLINK("https://twitter.com/Piruletadementa/status/1069357703477297154","1069357703477297154")</f>
        <v>1069357703477297154</v>
      </c>
      <c r="F2033" s="12"/>
      <c r="G2033" s="12"/>
      <c r="H2033" s="12"/>
      <c r="I2033" s="13">
        <v>3</v>
      </c>
      <c r="J2033" s="13">
        <v>4</v>
      </c>
      <c r="K2033" s="14" t="str">
        <f>HYPERLINK("http://twitter.com/download/android","Twitter for Android")</f>
        <v>Twitter for Android</v>
      </c>
      <c r="L2033" s="13">
        <v>5638</v>
      </c>
      <c r="M2033" s="13">
        <v>820</v>
      </c>
      <c r="N2033" s="13">
        <v>87</v>
      </c>
      <c r="O2033" s="15"/>
      <c r="P2033" s="6">
        <v>40910.714131944442</v>
      </c>
      <c r="Q2033" s="12"/>
      <c r="R2033" s="17" t="s">
        <v>7005</v>
      </c>
      <c r="S2033" s="12"/>
      <c r="T2033" s="12"/>
      <c r="U2033" s="10" t="str">
        <f>HYPERLINK("https://pbs.twimg.com/profile_images/479985147681337344/3sH8AG9E.jpeg","View")</f>
        <v>View</v>
      </c>
    </row>
    <row r="2034" spans="1:21" ht="40.799999999999997">
      <c r="A2034" s="6">
        <v>43436.978217592594</v>
      </c>
      <c r="B2034" s="7" t="str">
        <f>HYPERLINK("https://twitter.com/carlescosta_","@carlescosta_")</f>
        <v>@carlescosta_</v>
      </c>
      <c r="C2034" s="8" t="s">
        <v>7006</v>
      </c>
      <c r="D2034" s="9" t="s">
        <v>7007</v>
      </c>
      <c r="E2034" s="10" t="str">
        <f>HYPERLINK("https://twitter.com/carlescosta_/status/1069357702986502148","1069357702986502148")</f>
        <v>1069357702986502148</v>
      </c>
      <c r="F2034" s="12"/>
      <c r="G2034" s="12"/>
      <c r="H2034" s="12"/>
      <c r="I2034" s="13">
        <v>1</v>
      </c>
      <c r="J2034" s="13">
        <v>2</v>
      </c>
      <c r="K2034" s="14" t="str">
        <f>HYPERLINK("http://twitter.com/download/iphone","Twitter for iPhone")</f>
        <v>Twitter for iPhone</v>
      </c>
      <c r="L2034" s="13">
        <v>30111</v>
      </c>
      <c r="M2034" s="13">
        <v>997</v>
      </c>
      <c r="N2034" s="13">
        <v>401</v>
      </c>
      <c r="O2034" s="15"/>
      <c r="P2034" s="6">
        <v>40785.41265046296</v>
      </c>
      <c r="Q2034" s="16" t="s">
        <v>7008</v>
      </c>
      <c r="R2034" s="17" t="s">
        <v>7009</v>
      </c>
      <c r="S2034" s="12"/>
      <c r="T2034" s="12"/>
      <c r="U2034" s="10" t="str">
        <f>HYPERLINK("https://pbs.twimg.com/profile_images/1035925093287911424/OUWBemFs.jpg","View")</f>
        <v>View</v>
      </c>
    </row>
    <row r="2035" spans="1:21" ht="30.6">
      <c r="A2035" s="6">
        <v>43436.97819444444</v>
      </c>
      <c r="B2035" s="7" t="str">
        <f>HYPERLINK("https://twitter.com/sergiocm","@sergiocm")</f>
        <v>@sergiocm</v>
      </c>
      <c r="C2035" s="8" t="s">
        <v>7010</v>
      </c>
      <c r="D2035" s="9" t="s">
        <v>7011</v>
      </c>
      <c r="E2035" s="10" t="str">
        <f>HYPERLINK("https://twitter.com/sergiocm/status/1069357693981388800","1069357693981388800")</f>
        <v>1069357693981388800</v>
      </c>
      <c r="F2035" s="12"/>
      <c r="G2035" s="12"/>
      <c r="H2035" s="12"/>
      <c r="I2035" s="13">
        <v>0</v>
      </c>
      <c r="J2035" s="13">
        <v>1</v>
      </c>
      <c r="K2035" s="14" t="str">
        <f>HYPERLINK("http://twitter.com/download/android","Twitter for Android")</f>
        <v>Twitter for Android</v>
      </c>
      <c r="L2035" s="13">
        <v>4852</v>
      </c>
      <c r="M2035" s="13">
        <v>1341</v>
      </c>
      <c r="N2035" s="13">
        <v>336</v>
      </c>
      <c r="O2035" s="15"/>
      <c r="P2035" s="6">
        <v>39879.536053240743</v>
      </c>
      <c r="Q2035" s="16" t="s">
        <v>7012</v>
      </c>
      <c r="R2035" s="17" t="s">
        <v>7013</v>
      </c>
      <c r="S2035" s="11" t="s">
        <v>7014</v>
      </c>
      <c r="T2035" s="12"/>
      <c r="U2035" s="10" t="str">
        <f>HYPERLINK("https://pbs.twimg.com/profile_images/710524677266022402/QA6nfuHN.jpg","View")</f>
        <v>View</v>
      </c>
    </row>
    <row r="2036" spans="1:21" ht="40.799999999999997">
      <c r="A2036" s="6">
        <v>43436.978171296301</v>
      </c>
      <c r="B2036" s="7" t="str">
        <f>HYPERLINK("https://twitter.com/infoRAC1","@infoRAC1")</f>
        <v>@infoRAC1</v>
      </c>
      <c r="C2036" s="8" t="s">
        <v>7015</v>
      </c>
      <c r="D2036" s="9" t="s">
        <v>7016</v>
      </c>
      <c r="E2036" s="10" t="str">
        <f>HYPERLINK("https://twitter.com/infoRAC1/status/1069357684510650370","1069357684510650370")</f>
        <v>1069357684510650370</v>
      </c>
      <c r="F2036" s="12"/>
      <c r="G2036" s="12"/>
      <c r="H2036" s="12"/>
      <c r="I2036" s="13">
        <v>2</v>
      </c>
      <c r="J2036" s="13">
        <v>0</v>
      </c>
      <c r="K2036" s="14" t="str">
        <f>HYPERLINK("http://twitter.com","Twitter Web Client")</f>
        <v>Twitter Web Client</v>
      </c>
      <c r="L2036" s="13">
        <v>16202</v>
      </c>
      <c r="M2036" s="13">
        <v>230</v>
      </c>
      <c r="N2036" s="13">
        <v>274</v>
      </c>
      <c r="O2036" s="15"/>
      <c r="P2036" s="6">
        <v>40815.369780092595</v>
      </c>
      <c r="Q2036" s="16" t="s">
        <v>524</v>
      </c>
      <c r="R2036" s="17" t="s">
        <v>7017</v>
      </c>
      <c r="S2036" s="11" t="s">
        <v>7018</v>
      </c>
      <c r="T2036" s="12"/>
      <c r="U2036" s="10" t="str">
        <f>HYPERLINK("https://pbs.twimg.com/profile_images/1036332193147219968/FpoXFOjm.jpg","View")</f>
        <v>View</v>
      </c>
    </row>
    <row r="2037" spans="1:21" ht="30.6">
      <c r="A2037" s="6">
        <v>43436.978067129632</v>
      </c>
      <c r="B2037" s="7" t="str">
        <f>HYPERLINK("https://twitter.com/Blutbad_","@Blutbad_")</f>
        <v>@Blutbad_</v>
      </c>
      <c r="C2037" s="8" t="s">
        <v>4794</v>
      </c>
      <c r="D2037" s="9" t="s">
        <v>7019</v>
      </c>
      <c r="E2037" s="10" t="str">
        <f>HYPERLINK("https://twitter.com/Blutbad_/status/1069357648703827969","1069357648703827969")</f>
        <v>1069357648703827969</v>
      </c>
      <c r="F2037" s="12"/>
      <c r="G2037" s="12"/>
      <c r="H2037" s="12"/>
      <c r="I2037" s="13">
        <v>0</v>
      </c>
      <c r="J2037" s="13">
        <v>1</v>
      </c>
      <c r="K2037" s="14" t="str">
        <f>HYPERLINK("http://twitter.com/download/android","Twitter for Android")</f>
        <v>Twitter for Android</v>
      </c>
      <c r="L2037" s="13">
        <v>479</v>
      </c>
      <c r="M2037" s="13">
        <v>376</v>
      </c>
      <c r="N2037" s="13">
        <v>15</v>
      </c>
      <c r="O2037" s="15"/>
      <c r="P2037" s="6">
        <v>40678.973078703704</v>
      </c>
      <c r="Q2037" s="16" t="s">
        <v>7020</v>
      </c>
      <c r="R2037" s="17" t="s">
        <v>7021</v>
      </c>
      <c r="S2037" s="12"/>
      <c r="T2037" s="12"/>
      <c r="U2037" s="10" t="str">
        <f>HYPERLINK("https://pbs.twimg.com/profile_images/476175061674500098/OZXc6RSL.jpeg","View")</f>
        <v>View</v>
      </c>
    </row>
    <row r="2038" spans="1:21" ht="30.6">
      <c r="A2038" s="6">
        <v>43436.978032407409</v>
      </c>
      <c r="B2038" s="7" t="str">
        <f>HYPERLINK("https://twitter.com/joseponcedeleon","@joseponcedeleon")</f>
        <v>@joseponcedeleon</v>
      </c>
      <c r="C2038" s="8" t="s">
        <v>7022</v>
      </c>
      <c r="D2038" s="9" t="s">
        <v>7023</v>
      </c>
      <c r="E2038" s="10" t="str">
        <f>HYPERLINK("https://twitter.com/joseponcedeleon/status/1069357636360069120","1069357636360069120")</f>
        <v>1069357636360069120</v>
      </c>
      <c r="F2038" s="12"/>
      <c r="G2038" s="12"/>
      <c r="H2038" s="12"/>
      <c r="I2038" s="13">
        <v>1</v>
      </c>
      <c r="J2038" s="13">
        <v>7</v>
      </c>
      <c r="K2038" s="14" t="str">
        <f>HYPERLINK("http://twitter.com/download/iphone","Twitter for iPhone")</f>
        <v>Twitter for iPhone</v>
      </c>
      <c r="L2038" s="13">
        <v>1131</v>
      </c>
      <c r="M2038" s="13">
        <v>566</v>
      </c>
      <c r="N2038" s="13">
        <v>17</v>
      </c>
      <c r="O2038" s="15"/>
      <c r="P2038" s="6">
        <v>40155.899722222224</v>
      </c>
      <c r="Q2038" s="16" t="s">
        <v>7024</v>
      </c>
      <c r="R2038" s="17" t="s">
        <v>7025</v>
      </c>
      <c r="S2038" s="11" t="s">
        <v>7026</v>
      </c>
      <c r="T2038" s="12"/>
      <c r="U2038" s="10" t="str">
        <f>HYPERLINK("https://pbs.twimg.com/profile_images/1064657656042987521/nQZtIIpv.jpg","View")</f>
        <v>View</v>
      </c>
    </row>
    <row r="2039" spans="1:21" ht="20.399999999999999">
      <c r="A2039" s="6">
        <v>43436.978009259255</v>
      </c>
      <c r="B2039" s="7" t="str">
        <f>HYPERLINK("https://twitter.com/S_Riquelme_J","@S_Riquelme_J")</f>
        <v>@S_Riquelme_J</v>
      </c>
      <c r="C2039" s="8" t="s">
        <v>7027</v>
      </c>
      <c r="D2039" s="9" t="s">
        <v>7028</v>
      </c>
      <c r="E2039" s="10" t="str">
        <f>HYPERLINK("https://twitter.com/S_Riquelme_J/status/1069357627006771200","1069357627006771200")</f>
        <v>1069357627006771200</v>
      </c>
      <c r="F2039" s="12"/>
      <c r="G2039" s="12"/>
      <c r="H2039" s="12"/>
      <c r="I2039" s="13">
        <v>0</v>
      </c>
      <c r="J2039" s="13">
        <v>1</v>
      </c>
      <c r="K2039" s="14" t="str">
        <f t="shared" ref="K2039:K2041" si="361">HYPERLINK("http://twitter.com/download/android","Twitter for Android")</f>
        <v>Twitter for Android</v>
      </c>
      <c r="L2039" s="13">
        <v>225</v>
      </c>
      <c r="M2039" s="13">
        <v>199</v>
      </c>
      <c r="N2039" s="13">
        <v>3</v>
      </c>
      <c r="O2039" s="15"/>
      <c r="P2039" s="6">
        <v>41173.802337962959</v>
      </c>
      <c r="Q2039" s="16" t="s">
        <v>7029</v>
      </c>
      <c r="R2039" s="17" t="s">
        <v>7030</v>
      </c>
      <c r="S2039" s="12"/>
      <c r="T2039" s="12"/>
      <c r="U2039" s="10" t="str">
        <f>HYPERLINK("https://pbs.twimg.com/profile_images/1036250280340406272/q7f3Qr5w.jpg","View")</f>
        <v>View</v>
      </c>
    </row>
    <row r="2040" spans="1:21" ht="20.399999999999999">
      <c r="A2040" s="6">
        <v>43436.977905092594</v>
      </c>
      <c r="B2040" s="7" t="str">
        <f>HYPERLINK("https://twitter.com/CabreraTechiCF","@CabreraTechiCF")</f>
        <v>@CabreraTechiCF</v>
      </c>
      <c r="C2040" s="8" t="s">
        <v>5291</v>
      </c>
      <c r="D2040" s="9" t="s">
        <v>7031</v>
      </c>
      <c r="E2040" s="10" t="str">
        <f>HYPERLINK("https://twitter.com/CabreraTechiCF/status/1069357590562390017","1069357590562390017")</f>
        <v>1069357590562390017</v>
      </c>
      <c r="F2040" s="12"/>
      <c r="G2040" s="12"/>
      <c r="H2040" s="12"/>
      <c r="I2040" s="13">
        <v>0</v>
      </c>
      <c r="J2040" s="13">
        <v>0</v>
      </c>
      <c r="K2040" s="14" t="str">
        <f t="shared" si="361"/>
        <v>Twitter for Android</v>
      </c>
      <c r="L2040" s="13">
        <v>184</v>
      </c>
      <c r="M2040" s="13">
        <v>72</v>
      </c>
      <c r="N2040" s="13">
        <v>0</v>
      </c>
      <c r="O2040" s="15"/>
      <c r="P2040" s="6">
        <v>43378.818495370375</v>
      </c>
      <c r="Q2040" s="16" t="s">
        <v>5293</v>
      </c>
      <c r="R2040" s="17" t="s">
        <v>5294</v>
      </c>
      <c r="S2040" s="11" t="s">
        <v>5295</v>
      </c>
      <c r="T2040" s="12"/>
      <c r="U2040" s="10" t="str">
        <f>HYPERLINK("https://pbs.twimg.com/profile_images/1067835677499375617/FUfDTCcV.jpg","View")</f>
        <v>View</v>
      </c>
    </row>
    <row r="2041" spans="1:21" ht="20.399999999999999">
      <c r="A2041" s="6">
        <v>43436.977789351848</v>
      </c>
      <c r="B2041" s="7" t="str">
        <f>HYPERLINK("https://twitter.com/delahozm","@delahozm")</f>
        <v>@delahozm</v>
      </c>
      <c r="C2041" s="8" t="s">
        <v>3730</v>
      </c>
      <c r="D2041" s="9" t="s">
        <v>7032</v>
      </c>
      <c r="E2041" s="10" t="str">
        <f>HYPERLINK("https://twitter.com/delahozm/status/1069357547625295872","1069357547625295872")</f>
        <v>1069357547625295872</v>
      </c>
      <c r="F2041" s="12"/>
      <c r="G2041" s="11" t="s">
        <v>7033</v>
      </c>
      <c r="H2041" s="12"/>
      <c r="I2041" s="13">
        <v>3</v>
      </c>
      <c r="J2041" s="13">
        <v>2</v>
      </c>
      <c r="K2041" s="14" t="str">
        <f t="shared" si="361"/>
        <v>Twitter for Android</v>
      </c>
      <c r="L2041" s="13">
        <v>16455</v>
      </c>
      <c r="M2041" s="13">
        <v>1138</v>
      </c>
      <c r="N2041" s="13">
        <v>458</v>
      </c>
      <c r="O2041" s="19" t="s">
        <v>44</v>
      </c>
      <c r="P2041" s="6">
        <v>40703.555393518516</v>
      </c>
      <c r="Q2041" s="16" t="s">
        <v>572</v>
      </c>
      <c r="R2041" s="17" t="s">
        <v>3732</v>
      </c>
      <c r="S2041" s="11" t="s">
        <v>1566</v>
      </c>
      <c r="T2041" s="12"/>
      <c r="U2041" s="10" t="str">
        <f>HYPERLINK("https://pbs.twimg.com/profile_images/773949873167142913/wCQxjl2d.jpg","View")</f>
        <v>View</v>
      </c>
    </row>
    <row r="2042" spans="1:21" ht="20.399999999999999">
      <c r="A2042" s="6">
        <v>43436.977719907409</v>
      </c>
      <c r="B2042" s="7" t="str">
        <f>HYPERLINK("https://twitter.com/trendinaliaES","@trendinaliaES")</f>
        <v>@trendinaliaES</v>
      </c>
      <c r="C2042" s="8" t="s">
        <v>7034</v>
      </c>
      <c r="D2042" s="27" t="s">
        <v>7035</v>
      </c>
      <c r="E2042" s="10" t="str">
        <f>HYPERLINK("https://twitter.com/trendinaliaES/status/1069357521293463552","1069357521293463552")</f>
        <v>1069357521293463552</v>
      </c>
      <c r="F2042" s="11" t="s">
        <v>7036</v>
      </c>
      <c r="G2042" s="12"/>
      <c r="H2042" s="12" t="str">
        <f>HYPERLINK("https://ctrlq.org/maps/address/#40.4203,-3.7058","Map")</f>
        <v>Map</v>
      </c>
      <c r="I2042" s="13">
        <v>0</v>
      </c>
      <c r="J2042" s="13">
        <v>1</v>
      </c>
      <c r="K2042" s="14" t="str">
        <f>HYPERLINK("http://laconversa.com","Es Tendencia en España")</f>
        <v>Es Tendencia en España</v>
      </c>
      <c r="L2042" s="13">
        <v>49257</v>
      </c>
      <c r="M2042" s="13">
        <v>34</v>
      </c>
      <c r="N2042" s="13">
        <v>722</v>
      </c>
      <c r="O2042" s="19" t="s">
        <v>44</v>
      </c>
      <c r="P2042" s="6">
        <v>41319.819074074076</v>
      </c>
      <c r="Q2042" s="16" t="s">
        <v>48</v>
      </c>
      <c r="R2042" s="17" t="s">
        <v>7037</v>
      </c>
      <c r="S2042" s="11" t="s">
        <v>7038</v>
      </c>
      <c r="T2042" s="12"/>
      <c r="U2042" s="10" t="str">
        <f>HYPERLINK("https://pbs.twimg.com/profile_images/696485210821632000/xpdMQ_mE.png","View")</f>
        <v>View</v>
      </c>
    </row>
    <row r="2043" spans="1:21" ht="40.799999999999997">
      <c r="A2043" s="6">
        <v>43436.977662037039</v>
      </c>
      <c r="B2043" s="7" t="str">
        <f>HYPERLINK("https://twitter.com/bribriblibli_9","@bribriblibli_9")</f>
        <v>@bribriblibli_9</v>
      </c>
      <c r="C2043" s="8" t="s">
        <v>7039</v>
      </c>
      <c r="D2043" s="9" t="s">
        <v>7040</v>
      </c>
      <c r="E2043" s="10" t="str">
        <f>HYPERLINK("https://twitter.com/bribriblibli_9/status/1069357501160857600","1069357501160857600")</f>
        <v>1069357501160857600</v>
      </c>
      <c r="F2043" s="12"/>
      <c r="G2043" s="12"/>
      <c r="H2043" s="12"/>
      <c r="I2043" s="13">
        <v>0</v>
      </c>
      <c r="J2043" s="13">
        <v>0</v>
      </c>
      <c r="K2043" s="14" t="str">
        <f>HYPERLINK("http://twitter.com/download/android","Twitter for Android")</f>
        <v>Twitter for Android</v>
      </c>
      <c r="L2043" s="13">
        <v>1408</v>
      </c>
      <c r="M2043" s="13">
        <v>434</v>
      </c>
      <c r="N2043" s="13">
        <v>23</v>
      </c>
      <c r="O2043" s="15"/>
      <c r="P2043" s="6">
        <v>41939.93913194444</v>
      </c>
      <c r="Q2043" s="16" t="s">
        <v>7041</v>
      </c>
      <c r="R2043" s="17" t="s">
        <v>7042</v>
      </c>
      <c r="S2043" s="11" t="s">
        <v>7043</v>
      </c>
      <c r="T2043" s="12"/>
      <c r="U2043" s="10" t="str">
        <f>HYPERLINK("https://pbs.twimg.com/profile_images/953393656429469697/HLXr59NW.jpg","View")</f>
        <v>View</v>
      </c>
    </row>
    <row r="2044" spans="1:21" ht="51">
      <c r="A2044" s="6">
        <v>43436.974155092597</v>
      </c>
      <c r="B2044" s="7" t="str">
        <f>HYPERLINK("https://twitter.com/LuzeonArc","@LuzeonArc")</f>
        <v>@LuzeonArc</v>
      </c>
      <c r="C2044" s="8" t="s">
        <v>4131</v>
      </c>
      <c r="D2044" s="9" t="s">
        <v>7044</v>
      </c>
      <c r="E2044" s="10" t="str">
        <f>HYPERLINK("https://twitter.com/LuzeonArc/status/1069356228764200961","1069356228764200961")</f>
        <v>1069356228764200961</v>
      </c>
      <c r="F2044" s="12"/>
      <c r="G2044" s="12"/>
      <c r="H2044" s="12"/>
      <c r="I2044" s="13">
        <v>0</v>
      </c>
      <c r="J2044" s="13">
        <v>0</v>
      </c>
      <c r="K2044" s="14" t="str">
        <f>HYPERLINK("http://twitter.com","Twitter Web Client")</f>
        <v>Twitter Web Client</v>
      </c>
      <c r="L2044" s="13">
        <v>163</v>
      </c>
      <c r="M2044" s="13">
        <v>262</v>
      </c>
      <c r="N2044" s="13">
        <v>0</v>
      </c>
      <c r="O2044" s="15"/>
      <c r="P2044" s="6">
        <v>42968.704594907409</v>
      </c>
      <c r="Q2044" s="16" t="s">
        <v>4133</v>
      </c>
      <c r="R2044" s="17" t="s">
        <v>4134</v>
      </c>
      <c r="S2044" s="11" t="s">
        <v>4135</v>
      </c>
      <c r="T2044" s="12"/>
      <c r="U2044" s="10" t="str">
        <f>HYPERLINK("https://pbs.twimg.com/profile_images/1060307873568382976/18xdkF49.jpg","View")</f>
        <v>View</v>
      </c>
    </row>
    <row r="2045" spans="1:21" ht="30.6">
      <c r="A2045" s="6">
        <v>43436.973252314812</v>
      </c>
      <c r="B2045" s="7" t="str">
        <f>HYPERLINK("https://twitter.com/DannySvensonn","@DannySvensonn")</f>
        <v>@DannySvensonn</v>
      </c>
      <c r="C2045" s="8" t="s">
        <v>7045</v>
      </c>
      <c r="D2045" s="9" t="s">
        <v>7046</v>
      </c>
      <c r="E2045" s="10" t="str">
        <f>HYPERLINK("https://twitter.com/DannySvensonn/status/1069355904221499394","1069355904221499394")</f>
        <v>1069355904221499394</v>
      </c>
      <c r="F2045" s="12"/>
      <c r="G2045" s="12"/>
      <c r="H2045" s="12"/>
      <c r="I2045" s="13">
        <v>1</v>
      </c>
      <c r="J2045" s="13">
        <v>1</v>
      </c>
      <c r="K2045" s="14" t="str">
        <f>HYPERLINK("http://twitter.com/download/iphone","Twitter for iPhone")</f>
        <v>Twitter for iPhone</v>
      </c>
      <c r="L2045" s="13">
        <v>901</v>
      </c>
      <c r="M2045" s="13">
        <v>886</v>
      </c>
      <c r="N2045" s="13">
        <v>16</v>
      </c>
      <c r="O2045" s="15"/>
      <c r="P2045" s="6">
        <v>40395.668310185181</v>
      </c>
      <c r="Q2045" s="16" t="s">
        <v>7047</v>
      </c>
      <c r="R2045" s="17" t="s">
        <v>7048</v>
      </c>
      <c r="S2045" s="11" t="s">
        <v>7049</v>
      </c>
      <c r="T2045" s="12"/>
      <c r="U2045" s="10" t="str">
        <f>HYPERLINK("https://pbs.twimg.com/profile_images/969128205398487040/eCJFpoCa.jpg","View")</f>
        <v>View</v>
      </c>
    </row>
    <row r="2046" spans="1:21" ht="40.799999999999997">
      <c r="A2046" s="6">
        <v>43436.973171296297</v>
      </c>
      <c r="B2046" s="7" t="str">
        <f>HYPERLINK("https://twitter.com/tunamelera","@tunamelera")</f>
        <v>@tunamelera</v>
      </c>
      <c r="C2046" s="8" t="s">
        <v>7050</v>
      </c>
      <c r="D2046" s="9" t="s">
        <v>7051</v>
      </c>
      <c r="E2046" s="10" t="str">
        <f>HYPERLINK("https://twitter.com/tunamelera/status/1069355874261585923","1069355874261585923")</f>
        <v>1069355874261585923</v>
      </c>
      <c r="F2046" s="12"/>
      <c r="G2046" s="12"/>
      <c r="H2046" s="12"/>
      <c r="I2046" s="13">
        <v>0</v>
      </c>
      <c r="J2046" s="13">
        <v>0</v>
      </c>
      <c r="K2046" s="14" t="str">
        <f>HYPERLINK("https://mobile.twitter.com","Twitter Lite")</f>
        <v>Twitter Lite</v>
      </c>
      <c r="L2046" s="13">
        <v>1636</v>
      </c>
      <c r="M2046" s="13">
        <v>1354</v>
      </c>
      <c r="N2046" s="13">
        <v>12</v>
      </c>
      <c r="O2046" s="15"/>
      <c r="P2046" s="6">
        <v>42460.314652777779</v>
      </c>
      <c r="Q2046" s="16" t="s">
        <v>7052</v>
      </c>
      <c r="R2046" s="17" t="s">
        <v>7053</v>
      </c>
      <c r="S2046" s="12"/>
      <c r="T2046" s="12"/>
      <c r="U2046" s="10" t="str">
        <f>HYPERLINK("https://pbs.twimg.com/profile_images/1020761605527822336/3eI9ArtZ.jpg","View")</f>
        <v>View</v>
      </c>
    </row>
    <row r="2047" spans="1:21" ht="30.6">
      <c r="A2047" s="6">
        <v>43436.971666666665</v>
      </c>
      <c r="B2047" s="7" t="str">
        <f>HYPERLINK("https://twitter.com/AurelioREnebral","@AurelioREnebral")</f>
        <v>@AurelioREnebral</v>
      </c>
      <c r="C2047" s="8" t="s">
        <v>7054</v>
      </c>
      <c r="D2047" s="9" t="s">
        <v>7055</v>
      </c>
      <c r="E2047" s="10" t="str">
        <f>HYPERLINK("https://twitter.com/AurelioREnebral/status/1069355327471132672","1069355327471132672")</f>
        <v>1069355327471132672</v>
      </c>
      <c r="F2047" s="12"/>
      <c r="G2047" s="12"/>
      <c r="H2047" s="12"/>
      <c r="I2047" s="13">
        <v>1</v>
      </c>
      <c r="J2047" s="13">
        <v>0</v>
      </c>
      <c r="K2047" s="14" t="str">
        <f>HYPERLINK("http://twitter.com","Twitter Web Client")</f>
        <v>Twitter Web Client</v>
      </c>
      <c r="L2047" s="13">
        <v>1559</v>
      </c>
      <c r="M2047" s="13">
        <v>4998</v>
      </c>
      <c r="N2047" s="13">
        <v>37</v>
      </c>
      <c r="O2047" s="15"/>
      <c r="P2047" s="6">
        <v>40633.853888888887</v>
      </c>
      <c r="Q2047" s="12"/>
      <c r="R2047" s="17" t="s">
        <v>7056</v>
      </c>
      <c r="S2047" s="11" t="s">
        <v>4321</v>
      </c>
      <c r="T2047" s="12"/>
      <c r="U2047" s="10" t="str">
        <f>HYPERLINK("https://pbs.twimg.com/profile_images/916755872684134400/XhfNpd95.jpg","View")</f>
        <v>View</v>
      </c>
    </row>
    <row r="2048" spans="1:21" ht="40.799999999999997">
      <c r="A2048" s="6">
        <v>43436.970833333333</v>
      </c>
      <c r="B2048" s="7" t="str">
        <f>HYPERLINK("https://twitter.com/mule_moya","@mule_moya")</f>
        <v>@mule_moya</v>
      </c>
      <c r="C2048" s="8" t="s">
        <v>7057</v>
      </c>
      <c r="D2048" s="9" t="s">
        <v>7058</v>
      </c>
      <c r="E2048" s="10" t="str">
        <f>HYPERLINK("https://twitter.com/mule_moya/status/1069355026001395712","1069355026001395712")</f>
        <v>1069355026001395712</v>
      </c>
      <c r="F2048" s="12"/>
      <c r="G2048" s="12"/>
      <c r="H2048" s="12"/>
      <c r="I2048" s="13">
        <v>0</v>
      </c>
      <c r="J2048" s="13">
        <v>0</v>
      </c>
      <c r="K2048" s="14" t="str">
        <f>HYPERLINK("http://twitter.com/download/android","Twitter for Android")</f>
        <v>Twitter for Android</v>
      </c>
      <c r="L2048" s="13">
        <v>202</v>
      </c>
      <c r="M2048" s="13">
        <v>441</v>
      </c>
      <c r="N2048" s="13">
        <v>5</v>
      </c>
      <c r="O2048" s="15"/>
      <c r="P2048" s="6">
        <v>40960.379479166666</v>
      </c>
      <c r="Q2048" s="12"/>
      <c r="R2048" s="17" t="s">
        <v>7059</v>
      </c>
      <c r="S2048" s="12"/>
      <c r="T2048" s="12"/>
      <c r="U2048" s="10" t="str">
        <f>HYPERLINK("https://pbs.twimg.com/profile_images/747900508866641920/EZO88-mv.jpg","View")</f>
        <v>View</v>
      </c>
    </row>
    <row r="2049" spans="1:21" ht="40.799999999999997">
      <c r="A2049" s="6">
        <v>43436.970231481479</v>
      </c>
      <c r="B2049" s="7" t="str">
        <f>HYPERLINK("https://twitter.com/issijimenez","@issijimenez")</f>
        <v>@issijimenez</v>
      </c>
      <c r="C2049" s="8" t="s">
        <v>7060</v>
      </c>
      <c r="D2049" s="9" t="s">
        <v>7061</v>
      </c>
      <c r="E2049" s="10" t="str">
        <f>HYPERLINK("https://twitter.com/issijimenez/status/1069354806706348033","1069354806706348033")</f>
        <v>1069354806706348033</v>
      </c>
      <c r="F2049" s="12"/>
      <c r="G2049" s="12"/>
      <c r="H2049" s="12"/>
      <c r="I2049" s="13">
        <v>0</v>
      </c>
      <c r="J2049" s="13">
        <v>0</v>
      </c>
      <c r="K2049" s="14" t="str">
        <f>HYPERLINK("http://twitter.com/download/iphone","Twitter for iPhone")</f>
        <v>Twitter for iPhone</v>
      </c>
      <c r="L2049" s="13">
        <v>2313</v>
      </c>
      <c r="M2049" s="13">
        <v>2453</v>
      </c>
      <c r="N2049" s="13">
        <v>12</v>
      </c>
      <c r="O2049" s="15"/>
      <c r="P2049" s="6">
        <v>40630.582187499997</v>
      </c>
      <c r="Q2049" s="16" t="s">
        <v>7062</v>
      </c>
      <c r="R2049" s="17" t="s">
        <v>7063</v>
      </c>
      <c r="S2049" s="12"/>
      <c r="T2049" s="12"/>
      <c r="U2049" s="10" t="str">
        <f>HYPERLINK("https://pbs.twimg.com/profile_images/1053259289681371138/VCKbKeGy.jpg","View")</f>
        <v>View</v>
      </c>
    </row>
    <row r="2050" spans="1:21" ht="30.6">
      <c r="A2050" s="6">
        <v>43436.970219907409</v>
      </c>
      <c r="B2050" s="7" t="str">
        <f>HYPERLINK("https://twitter.com/bronzebreeee","@bronzebreeee")</f>
        <v>@bronzebreeee</v>
      </c>
      <c r="C2050" s="8" t="s">
        <v>7064</v>
      </c>
      <c r="D2050" s="9" t="s">
        <v>7065</v>
      </c>
      <c r="E2050" s="10" t="str">
        <f>HYPERLINK("https://twitter.com/bronzebreeee/status/1069354802201722880","1069354802201722880")</f>
        <v>1069354802201722880</v>
      </c>
      <c r="F2050" s="12"/>
      <c r="G2050" s="12"/>
      <c r="H2050" s="12"/>
      <c r="I2050" s="13">
        <v>0</v>
      </c>
      <c r="J2050" s="13">
        <v>0</v>
      </c>
      <c r="K2050" s="14" t="str">
        <f>HYPERLINK("http://twitter.com/download/android","Twitter for Android")</f>
        <v>Twitter for Android</v>
      </c>
      <c r="L2050" s="13">
        <v>45</v>
      </c>
      <c r="M2050" s="13">
        <v>938</v>
      </c>
      <c r="N2050" s="13">
        <v>0</v>
      </c>
      <c r="O2050" s="15"/>
      <c r="P2050" s="6">
        <v>43016.83699074074</v>
      </c>
      <c r="Q2050" s="16" t="s">
        <v>48</v>
      </c>
      <c r="R2050" s="17" t="s">
        <v>7066</v>
      </c>
      <c r="S2050" s="11" t="s">
        <v>7067</v>
      </c>
      <c r="T2050" s="12"/>
      <c r="U2050" s="10" t="str">
        <f>HYPERLINK("https://pbs.twimg.com/profile_images/1065618791080562689/E3N67CK2.jpg","View")</f>
        <v>View</v>
      </c>
    </row>
    <row r="2051" spans="1:21" ht="51">
      <c r="A2051" s="6">
        <v>43436.969143518523</v>
      </c>
      <c r="B2051" s="7" t="str">
        <f>HYPERLINK("https://twitter.com/Daexpe","@Daexpe")</f>
        <v>@Daexpe</v>
      </c>
      <c r="C2051" s="8" t="s">
        <v>7068</v>
      </c>
      <c r="D2051" s="9" t="s">
        <v>7069</v>
      </c>
      <c r="E2051" s="10" t="str">
        <f>HYPERLINK("https://twitter.com/Daexpe/status/1069354413972746247","1069354413972746247")</f>
        <v>1069354413972746247</v>
      </c>
      <c r="F2051" s="12"/>
      <c r="G2051" s="12"/>
      <c r="H2051" s="12"/>
      <c r="I2051" s="13">
        <v>0</v>
      </c>
      <c r="J2051" s="13">
        <v>1</v>
      </c>
      <c r="K2051" s="14" t="str">
        <f>HYPERLINK("http://twitter.com","Twitter Web Client")</f>
        <v>Twitter Web Client</v>
      </c>
      <c r="L2051" s="13">
        <v>143</v>
      </c>
      <c r="M2051" s="13">
        <v>161</v>
      </c>
      <c r="N2051" s="13">
        <v>2</v>
      </c>
      <c r="O2051" s="15"/>
      <c r="P2051" s="6">
        <v>41195.075578703705</v>
      </c>
      <c r="Q2051" s="16" t="s">
        <v>6989</v>
      </c>
      <c r="R2051" s="17" t="s">
        <v>7070</v>
      </c>
      <c r="S2051" s="12"/>
      <c r="T2051" s="12"/>
      <c r="U2051" s="10" t="str">
        <f>HYPERLINK("https://pbs.twimg.com/profile_images/1047433573773582341/YCB_r0GM.jpg","View")</f>
        <v>View</v>
      </c>
    </row>
    <row r="2052" spans="1:21" ht="40.799999999999997">
      <c r="A2052" s="6">
        <v>43436.96873842593</v>
      </c>
      <c r="B2052" s="7" t="str">
        <f>HYPERLINK("https://twitter.com/jomaabgo","@jomaabgo")</f>
        <v>@jomaabgo</v>
      </c>
      <c r="C2052" s="8" t="s">
        <v>7071</v>
      </c>
      <c r="D2052" s="9" t="s">
        <v>7072</v>
      </c>
      <c r="E2052" s="10" t="str">
        <f>HYPERLINK("https://twitter.com/jomaabgo/status/1069354265901187078","1069354265901187078")</f>
        <v>1069354265901187078</v>
      </c>
      <c r="F2052" s="12"/>
      <c r="G2052" s="12"/>
      <c r="H2052" s="12"/>
      <c r="I2052" s="13">
        <v>0</v>
      </c>
      <c r="J2052" s="13">
        <v>0</v>
      </c>
      <c r="K2052" s="14" t="str">
        <f t="shared" ref="K2052:K2053" si="362">HYPERLINK("http://twitter.com/download/android","Twitter for Android")</f>
        <v>Twitter for Android</v>
      </c>
      <c r="L2052" s="13">
        <v>26</v>
      </c>
      <c r="M2052" s="13">
        <v>83</v>
      </c>
      <c r="N2052" s="13">
        <v>0</v>
      </c>
      <c r="O2052" s="15"/>
      <c r="P2052" s="6">
        <v>41341.787037037036</v>
      </c>
      <c r="Q2052" s="12"/>
      <c r="R2052" s="17" t="s">
        <v>7073</v>
      </c>
      <c r="S2052" s="12"/>
      <c r="T2052" s="12"/>
      <c r="U2052" s="10" t="str">
        <f>HYPERLINK("https://pbs.twimg.com/profile_images/1062644497564254208/ce_3gPme.jpg","View")</f>
        <v>View</v>
      </c>
    </row>
    <row r="2053" spans="1:21" ht="20.399999999999999">
      <c r="A2053" s="6">
        <v>43436.968472222223</v>
      </c>
      <c r="B2053" s="7" t="str">
        <f>HYPERLINK("https://twitter.com/algabademisojos","@algabademisojos")</f>
        <v>@algabademisojos</v>
      </c>
      <c r="C2053" s="8" t="s">
        <v>7074</v>
      </c>
      <c r="D2053" s="9" t="s">
        <v>7075</v>
      </c>
      <c r="E2053" s="10" t="str">
        <f>HYPERLINK("https://twitter.com/algabademisojos/status/1069354171369951238","1069354171369951238")</f>
        <v>1069354171369951238</v>
      </c>
      <c r="F2053" s="12"/>
      <c r="G2053" s="11" t="s">
        <v>7076</v>
      </c>
      <c r="H2053" s="12"/>
      <c r="I2053" s="13">
        <v>0</v>
      </c>
      <c r="J2053" s="13">
        <v>0</v>
      </c>
      <c r="K2053" s="14" t="str">
        <f t="shared" si="362"/>
        <v>Twitter for Android</v>
      </c>
      <c r="L2053" s="13">
        <v>198</v>
      </c>
      <c r="M2053" s="13">
        <v>199</v>
      </c>
      <c r="N2053" s="13">
        <v>8</v>
      </c>
      <c r="O2053" s="15"/>
      <c r="P2053" s="6">
        <v>41335.020428240743</v>
      </c>
      <c r="Q2053" s="12"/>
      <c r="R2053" s="17" t="s">
        <v>7077</v>
      </c>
      <c r="S2053" s="12"/>
      <c r="T2053" s="12"/>
      <c r="U2053" s="10" t="str">
        <f>HYPERLINK("https://pbs.twimg.com/profile_images/1069363290055327750/7vigTJ4E.jpg","View")</f>
        <v>View</v>
      </c>
    </row>
    <row r="2054" spans="1:21" ht="40.799999999999997">
      <c r="A2054" s="6">
        <v>43436.968449074076</v>
      </c>
      <c r="B2054" s="7" t="str">
        <f>HYPERLINK("https://twitter.com/enriquedediegov","@enriquedediegov")</f>
        <v>@enriquedediegov</v>
      </c>
      <c r="C2054" s="8" t="s">
        <v>5857</v>
      </c>
      <c r="D2054" s="9" t="s">
        <v>5858</v>
      </c>
      <c r="E2054" s="10" t="str">
        <f>HYPERLINK("https://twitter.com/enriquedediegov/status/1069354163140730880","1069354163140730880")</f>
        <v>1069354163140730880</v>
      </c>
      <c r="F2054" s="11" t="s">
        <v>7078</v>
      </c>
      <c r="G2054" s="12"/>
      <c r="H2054" s="12"/>
      <c r="I2054" s="13">
        <v>0</v>
      </c>
      <c r="J2054" s="13">
        <v>1</v>
      </c>
      <c r="K2054" s="14" t="str">
        <f>HYPERLINK("http://twitter.com","Twitter Web Client")</f>
        <v>Twitter Web Client</v>
      </c>
      <c r="L2054" s="13">
        <v>7792</v>
      </c>
      <c r="M2054" s="13">
        <v>6053</v>
      </c>
      <c r="N2054" s="13">
        <v>179</v>
      </c>
      <c r="O2054" s="15"/>
      <c r="P2054" s="6">
        <v>41293.717129629629</v>
      </c>
      <c r="Q2054" s="16" t="s">
        <v>48</v>
      </c>
      <c r="R2054" s="17" t="s">
        <v>5860</v>
      </c>
      <c r="S2054" s="11" t="s">
        <v>5861</v>
      </c>
      <c r="T2054" s="12"/>
      <c r="U2054" s="10" t="str">
        <f>HYPERLINK("https://pbs.twimg.com/profile_images/3129623790/4ae197d01442e05dee4622297c3b9642.jpeg","View")</f>
        <v>View</v>
      </c>
    </row>
    <row r="2055" spans="1:21" ht="40.799999999999997">
      <c r="A2055" s="6">
        <v>43436.96769675926</v>
      </c>
      <c r="B2055" s="7" t="str">
        <f>HYPERLINK("https://twitter.com/mule_moya","@mule_moya")</f>
        <v>@mule_moya</v>
      </c>
      <c r="C2055" s="8" t="s">
        <v>7057</v>
      </c>
      <c r="D2055" s="9" t="s">
        <v>7079</v>
      </c>
      <c r="E2055" s="10" t="str">
        <f>HYPERLINK("https://twitter.com/mule_moya/status/1069353890238341120","1069353890238341120")</f>
        <v>1069353890238341120</v>
      </c>
      <c r="F2055" s="12"/>
      <c r="G2055" s="12"/>
      <c r="H2055" s="12"/>
      <c r="I2055" s="13">
        <v>0</v>
      </c>
      <c r="J2055" s="13">
        <v>0</v>
      </c>
      <c r="K2055" s="14" t="str">
        <f>HYPERLINK("http://twitter.com/download/android","Twitter for Android")</f>
        <v>Twitter for Android</v>
      </c>
      <c r="L2055" s="13">
        <v>202</v>
      </c>
      <c r="M2055" s="13">
        <v>441</v>
      </c>
      <c r="N2055" s="13">
        <v>5</v>
      </c>
      <c r="O2055" s="15"/>
      <c r="P2055" s="6">
        <v>40960.379479166666</v>
      </c>
      <c r="Q2055" s="12"/>
      <c r="R2055" s="17" t="s">
        <v>7059</v>
      </c>
      <c r="S2055" s="12"/>
      <c r="T2055" s="12"/>
      <c r="U2055" s="10" t="str">
        <f>HYPERLINK("https://pbs.twimg.com/profile_images/747900508866641920/EZO88-mv.jpg","View")</f>
        <v>View</v>
      </c>
    </row>
    <row r="2056" spans="1:21" ht="40.799999999999997">
      <c r="A2056" s="6">
        <v>43436.967002314814</v>
      </c>
      <c r="B2056" s="7" t="str">
        <f>HYPERLINK("https://twitter.com/delcemiguel","@delcemiguel")</f>
        <v>@delcemiguel</v>
      </c>
      <c r="C2056" s="8" t="s">
        <v>7080</v>
      </c>
      <c r="D2056" s="9" t="s">
        <v>7081</v>
      </c>
      <c r="E2056" s="10" t="str">
        <f>HYPERLINK("https://twitter.com/delcemiguel/status/1069353638865317890","1069353638865317890")</f>
        <v>1069353638865317890</v>
      </c>
      <c r="F2056" s="12"/>
      <c r="G2056" s="12"/>
      <c r="H2056" s="12"/>
      <c r="I2056" s="13">
        <v>0</v>
      </c>
      <c r="J2056" s="13">
        <v>1</v>
      </c>
      <c r="K2056" s="14" t="str">
        <f t="shared" ref="K2056:K2057" si="363">HYPERLINK("http://twitter.com/download/iphone","Twitter for iPhone")</f>
        <v>Twitter for iPhone</v>
      </c>
      <c r="L2056" s="13">
        <v>313</v>
      </c>
      <c r="M2056" s="13">
        <v>3030</v>
      </c>
      <c r="N2056" s="13">
        <v>2</v>
      </c>
      <c r="O2056" s="15"/>
      <c r="P2056" s="6">
        <v>42351.991875</v>
      </c>
      <c r="Q2056" s="16" t="s">
        <v>7082</v>
      </c>
      <c r="R2056" s="17" t="s">
        <v>7083</v>
      </c>
      <c r="S2056" s="11" t="s">
        <v>7084</v>
      </c>
      <c r="T2056" s="12"/>
      <c r="U2056" s="10" t="str">
        <f>HYPERLINK("https://pbs.twimg.com/profile_images/1069249799428427781/dCz9PQ0Q.jpg","View")</f>
        <v>View</v>
      </c>
    </row>
    <row r="2057" spans="1:21" ht="51">
      <c r="A2057" s="6">
        <v>43436.966840277775</v>
      </c>
      <c r="B2057" s="7" t="str">
        <f>HYPERLINK("https://twitter.com/sillopezgim","@sillopezgim")</f>
        <v>@sillopezgim</v>
      </c>
      <c r="C2057" s="8" t="s">
        <v>7085</v>
      </c>
      <c r="D2057" s="9" t="s">
        <v>7086</v>
      </c>
      <c r="E2057" s="10" t="str">
        <f>HYPERLINK("https://twitter.com/sillopezgim/status/1069353578127597569","1069353578127597569")</f>
        <v>1069353578127597569</v>
      </c>
      <c r="F2057" s="12"/>
      <c r="G2057" s="12"/>
      <c r="H2057" s="12"/>
      <c r="I2057" s="13">
        <v>0</v>
      </c>
      <c r="J2057" s="13">
        <v>0</v>
      </c>
      <c r="K2057" s="14" t="str">
        <f t="shared" si="363"/>
        <v>Twitter for iPhone</v>
      </c>
      <c r="L2057" s="13">
        <v>188</v>
      </c>
      <c r="M2057" s="13">
        <v>825</v>
      </c>
      <c r="N2057" s="13">
        <v>2</v>
      </c>
      <c r="O2057" s="15"/>
      <c r="P2057" s="6">
        <v>42898.721921296295</v>
      </c>
      <c r="Q2057" s="16" t="s">
        <v>1440</v>
      </c>
      <c r="R2057" s="17" t="s">
        <v>7087</v>
      </c>
      <c r="S2057" s="16" t="s">
        <v>7088</v>
      </c>
      <c r="T2057" s="12"/>
      <c r="U2057" s="10" t="str">
        <f>HYPERLINK("https://pbs.twimg.com/profile_images/1065198624982876160/SEXGARWk.jpg","View")</f>
        <v>View</v>
      </c>
    </row>
    <row r="2058" spans="1:21" ht="30.6">
      <c r="A2058" s="6">
        <v>43436.966053240743</v>
      </c>
      <c r="B2058" s="7" t="str">
        <f>HYPERLINK("https://twitter.com/Aclnari","@Aclnari")</f>
        <v>@Aclnari</v>
      </c>
      <c r="C2058" s="8" t="s">
        <v>6790</v>
      </c>
      <c r="D2058" s="9" t="s">
        <v>7089</v>
      </c>
      <c r="E2058" s="10" t="str">
        <f>HYPERLINK("https://twitter.com/Aclnari/status/1069353295184056320","1069353295184056320")</f>
        <v>1069353295184056320</v>
      </c>
      <c r="F2058" s="12"/>
      <c r="G2058" s="12"/>
      <c r="H2058" s="12"/>
      <c r="I2058" s="13">
        <v>0</v>
      </c>
      <c r="J2058" s="13">
        <v>0</v>
      </c>
      <c r="K2058" s="14" t="str">
        <f>HYPERLINK("http://twitter.com/download/android","Twitter for Android")</f>
        <v>Twitter for Android</v>
      </c>
      <c r="L2058" s="13">
        <v>80</v>
      </c>
      <c r="M2058" s="13">
        <v>248</v>
      </c>
      <c r="N2058" s="13">
        <v>3</v>
      </c>
      <c r="O2058" s="15"/>
      <c r="P2058" s="6">
        <v>40743.05327546296</v>
      </c>
      <c r="Q2058" s="12"/>
      <c r="R2058" s="17" t="s">
        <v>6792</v>
      </c>
      <c r="S2058" s="12"/>
      <c r="T2058" s="12"/>
      <c r="U2058" s="10" t="str">
        <f>HYPERLINK("https://pbs.twimg.com/profile_images/1769759395/Liverbird_avatar.jpg","View")</f>
        <v>View</v>
      </c>
    </row>
    <row r="2059" spans="1:21" ht="51">
      <c r="A2059" s="6">
        <v>43436.965636574074</v>
      </c>
      <c r="B2059" s="7" t="str">
        <f>HYPERLINK("https://twitter.com/skakeofanzine","@skakeofanzine")</f>
        <v>@skakeofanzine</v>
      </c>
      <c r="C2059" s="8" t="s">
        <v>5432</v>
      </c>
      <c r="D2059" s="9" t="s">
        <v>7090</v>
      </c>
      <c r="E2059" s="10" t="str">
        <f>HYPERLINK("https://twitter.com/skakeofanzine/status/1069353141412524032","1069353141412524032")</f>
        <v>1069353141412524032</v>
      </c>
      <c r="F2059" s="11" t="s">
        <v>3133</v>
      </c>
      <c r="G2059" s="11" t="s">
        <v>3134</v>
      </c>
      <c r="H2059" s="12"/>
      <c r="I2059" s="13">
        <v>0</v>
      </c>
      <c r="J2059" s="13">
        <v>2</v>
      </c>
      <c r="K2059" s="14" t="str">
        <f t="shared" ref="K2059:K2060" si="364">HYPERLINK("http://twitter.com","Twitter Web Client")</f>
        <v>Twitter Web Client</v>
      </c>
      <c r="L2059" s="13">
        <v>2201</v>
      </c>
      <c r="M2059" s="13">
        <v>1196</v>
      </c>
      <c r="N2059" s="13">
        <v>43</v>
      </c>
      <c r="O2059" s="15"/>
      <c r="P2059" s="6">
        <v>40445.652233796296</v>
      </c>
      <c r="Q2059" s="16" t="s">
        <v>167</v>
      </c>
      <c r="R2059" s="17" t="s">
        <v>5434</v>
      </c>
      <c r="S2059" s="11" t="s">
        <v>5435</v>
      </c>
      <c r="T2059" s="12"/>
      <c r="U2059" s="10" t="str">
        <f>HYPERLINK("https://pbs.twimg.com/profile_images/1130273526/gse_multipart50931.jpg","View")</f>
        <v>View</v>
      </c>
    </row>
    <row r="2060" spans="1:21" ht="20.399999999999999">
      <c r="A2060" s="6">
        <v>43436.965474537035</v>
      </c>
      <c r="B2060" s="7" t="str">
        <f>HYPERLINK("https://twitter.com/PPdeSevilla","@PPdeSevilla")</f>
        <v>@PPdeSevilla</v>
      </c>
      <c r="C2060" s="8" t="s">
        <v>7091</v>
      </c>
      <c r="D2060" s="9" t="s">
        <v>7092</v>
      </c>
      <c r="E2060" s="10" t="str">
        <f>HYPERLINK("https://twitter.com/PPdeSevilla/status/1069353081907888130","1069353081907888130")</f>
        <v>1069353081907888130</v>
      </c>
      <c r="F2060" s="11" t="s">
        <v>7093</v>
      </c>
      <c r="G2060" s="12"/>
      <c r="H2060" s="12"/>
      <c r="I2060" s="13">
        <v>8</v>
      </c>
      <c r="J2060" s="13">
        <v>8</v>
      </c>
      <c r="K2060" s="14" t="str">
        <f t="shared" si="364"/>
        <v>Twitter Web Client</v>
      </c>
      <c r="L2060" s="13">
        <v>8728</v>
      </c>
      <c r="M2060" s="13">
        <v>3030</v>
      </c>
      <c r="N2060" s="13">
        <v>137</v>
      </c>
      <c r="O2060" s="19" t="s">
        <v>44</v>
      </c>
      <c r="P2060" s="6">
        <v>40850.776122685187</v>
      </c>
      <c r="Q2060" s="16" t="s">
        <v>735</v>
      </c>
      <c r="R2060" s="17" t="s">
        <v>7094</v>
      </c>
      <c r="S2060" s="11" t="s">
        <v>7095</v>
      </c>
      <c r="T2060" s="12"/>
      <c r="U2060" s="10" t="str">
        <f>HYPERLINK("https://pbs.twimg.com/profile_images/1053700478025035776/sZcD0JhD.jpg","View")</f>
        <v>View</v>
      </c>
    </row>
    <row r="2061" spans="1:21" ht="20.399999999999999">
      <c r="A2061" s="6">
        <v>43436.96539351852</v>
      </c>
      <c r="B2061" s="7" t="str">
        <f>HYPERLINK("https://twitter.com/Marmota_Maligna","@Marmota_Maligna")</f>
        <v>@Marmota_Maligna</v>
      </c>
      <c r="C2061" s="8" t="s">
        <v>5385</v>
      </c>
      <c r="D2061" s="9" t="s">
        <v>7096</v>
      </c>
      <c r="E2061" s="10" t="str">
        <f>HYPERLINK("https://twitter.com/Marmota_Maligna/status/1069353053386616832","1069353053386616832")</f>
        <v>1069353053386616832</v>
      </c>
      <c r="F2061" s="11" t="s">
        <v>7097</v>
      </c>
      <c r="G2061" s="12"/>
      <c r="H2061" s="12"/>
      <c r="I2061" s="13">
        <v>0</v>
      </c>
      <c r="J2061" s="13">
        <v>2</v>
      </c>
      <c r="K2061" s="14" t="str">
        <f>HYPERLINK("https://about.twitter.com/products/tweetdeck","TweetDeck")</f>
        <v>TweetDeck</v>
      </c>
      <c r="L2061" s="13">
        <v>2072</v>
      </c>
      <c r="M2061" s="13">
        <v>521</v>
      </c>
      <c r="N2061" s="13">
        <v>122</v>
      </c>
      <c r="O2061" s="15"/>
      <c r="P2061" s="6">
        <v>40688.433993055558</v>
      </c>
      <c r="Q2061" s="16" t="s">
        <v>5387</v>
      </c>
      <c r="R2061" s="17" t="s">
        <v>5388</v>
      </c>
      <c r="S2061" s="11" t="s">
        <v>5389</v>
      </c>
      <c r="T2061" s="12"/>
      <c r="U2061" s="10" t="str">
        <f>HYPERLINK("https://pbs.twimg.com/profile_images/1068897043631022080/dFXwFe6B.jpg","View")</f>
        <v>View</v>
      </c>
    </row>
    <row r="2062" spans="1:21" ht="20.399999999999999">
      <c r="A2062" s="6">
        <v>43436.965046296296</v>
      </c>
      <c r="B2062" s="7" t="str">
        <f>HYPERLINK("https://twitter.com/voxjaen","@voxjaen")</f>
        <v>@voxjaen</v>
      </c>
      <c r="C2062" s="8" t="s">
        <v>7098</v>
      </c>
      <c r="D2062" s="9" t="s">
        <v>7099</v>
      </c>
      <c r="E2062" s="10" t="str">
        <f>HYPERLINK("https://twitter.com/voxjaen/status/1069352929080029190","1069352929080029190")</f>
        <v>1069352929080029190</v>
      </c>
      <c r="F2062" s="11" t="s">
        <v>7100</v>
      </c>
      <c r="G2062" s="12"/>
      <c r="H2062" s="12"/>
      <c r="I2062" s="13">
        <v>0</v>
      </c>
      <c r="J2062" s="13">
        <v>0</v>
      </c>
      <c r="K2062" s="14" t="str">
        <f t="shared" ref="K2062:K2064" si="365">HYPERLINK("http://twitter.com","Twitter Web Client")</f>
        <v>Twitter Web Client</v>
      </c>
      <c r="L2062" s="13">
        <v>1058</v>
      </c>
      <c r="M2062" s="13">
        <v>992</v>
      </c>
      <c r="N2062" s="13">
        <v>28</v>
      </c>
      <c r="O2062" s="15"/>
      <c r="P2062" s="6">
        <v>39980.878842592589</v>
      </c>
      <c r="Q2062" s="16" t="s">
        <v>7101</v>
      </c>
      <c r="R2062" s="17" t="s">
        <v>7102</v>
      </c>
      <c r="S2062" s="12"/>
      <c r="T2062" s="12"/>
      <c r="U2062" s="10" t="str">
        <f>HYPERLINK("https://pbs.twimg.com/profile_images/514989953/image004.jpg","View")</f>
        <v>View</v>
      </c>
    </row>
    <row r="2063" spans="1:21" ht="40.799999999999997">
      <c r="A2063" s="6">
        <v>43436.964143518519</v>
      </c>
      <c r="B2063" s="7" t="str">
        <f>HYPERLINK("https://twitter.com/PacoCuellarPGS","@PacoCuellarPGS")</f>
        <v>@PacoCuellarPGS</v>
      </c>
      <c r="C2063" s="8" t="s">
        <v>7103</v>
      </c>
      <c r="D2063" s="9" t="s">
        <v>7104</v>
      </c>
      <c r="E2063" s="10" t="str">
        <f>HYPERLINK("https://twitter.com/PacoCuellarPGS/status/1069352603090382849","1069352603090382849")</f>
        <v>1069352603090382849</v>
      </c>
      <c r="F2063" s="12"/>
      <c r="G2063" s="12"/>
      <c r="H2063" s="12"/>
      <c r="I2063" s="13">
        <v>3</v>
      </c>
      <c r="J2063" s="13">
        <v>8</v>
      </c>
      <c r="K2063" s="14" t="str">
        <f t="shared" si="365"/>
        <v>Twitter Web Client</v>
      </c>
      <c r="L2063" s="13">
        <v>670</v>
      </c>
      <c r="M2063" s="13">
        <v>118</v>
      </c>
      <c r="N2063" s="13">
        <v>15</v>
      </c>
      <c r="O2063" s="15"/>
      <c r="P2063" s="6">
        <v>41088.552673611113</v>
      </c>
      <c r="Q2063" s="16" t="s">
        <v>3386</v>
      </c>
      <c r="R2063" s="17" t="s">
        <v>7105</v>
      </c>
      <c r="S2063" s="11" t="s">
        <v>7106</v>
      </c>
      <c r="T2063" s="12"/>
      <c r="U2063" s="10" t="str">
        <f>HYPERLINK("https://pbs.twimg.com/profile_images/640603790106861568/tVRwB3F3.jpg","View")</f>
        <v>View</v>
      </c>
    </row>
    <row r="2064" spans="1:21" ht="30.6">
      <c r="A2064" s="6">
        <v>43436.963900462964</v>
      </c>
      <c r="B2064" s="7" t="str">
        <f>HYPERLINK("https://twitter.com/lanitas2000","@lanitas2000")</f>
        <v>@lanitas2000</v>
      </c>
      <c r="C2064" s="8" t="s">
        <v>7107</v>
      </c>
      <c r="D2064" s="9" t="s">
        <v>7108</v>
      </c>
      <c r="E2064" s="10" t="str">
        <f>HYPERLINK("https://twitter.com/lanitas2000/status/1069352512740880384","1069352512740880384")</f>
        <v>1069352512740880384</v>
      </c>
      <c r="F2064" s="12"/>
      <c r="G2064" s="12"/>
      <c r="H2064" s="12"/>
      <c r="I2064" s="13">
        <v>0</v>
      </c>
      <c r="J2064" s="13">
        <v>0</v>
      </c>
      <c r="K2064" s="14" t="str">
        <f t="shared" si="365"/>
        <v>Twitter Web Client</v>
      </c>
      <c r="L2064" s="13">
        <v>1266</v>
      </c>
      <c r="M2064" s="13">
        <v>1031</v>
      </c>
      <c r="N2064" s="13">
        <v>14</v>
      </c>
      <c r="O2064" s="15"/>
      <c r="P2064" s="6">
        <v>40633.063657407409</v>
      </c>
      <c r="Q2064" s="12"/>
      <c r="R2064" s="17" t="s">
        <v>7109</v>
      </c>
      <c r="S2064" s="12"/>
      <c r="T2064" s="12"/>
      <c r="U2064" s="10" t="str">
        <f>HYPERLINK("https://pbs.twimg.com/profile_images/603922962018869248/8gqSJNw-.jpg","View")</f>
        <v>View</v>
      </c>
    </row>
    <row r="2065" spans="1:21" ht="30.6">
      <c r="A2065" s="6">
        <v>43436.963819444441</v>
      </c>
      <c r="B2065" s="7" t="str">
        <f>HYPERLINK("https://twitter.com/Tyrexito","@Tyrexito")</f>
        <v>@Tyrexito</v>
      </c>
      <c r="C2065" s="8" t="s">
        <v>7110</v>
      </c>
      <c r="D2065" s="9" t="s">
        <v>7111</v>
      </c>
      <c r="E2065" s="10" t="str">
        <f>HYPERLINK("https://twitter.com/Tyrexito/status/1069352486136356865","1069352486136356865")</f>
        <v>1069352486136356865</v>
      </c>
      <c r="F2065" s="11" t="s">
        <v>7112</v>
      </c>
      <c r="G2065" s="11" t="s">
        <v>6282</v>
      </c>
      <c r="H2065" s="12"/>
      <c r="I2065" s="13">
        <v>20</v>
      </c>
      <c r="J2065" s="13">
        <v>21</v>
      </c>
      <c r="K2065" s="14" t="str">
        <f>HYPERLINK("http://twitter.com/download/iphone","Twitter for iPhone")</f>
        <v>Twitter for iPhone</v>
      </c>
      <c r="L2065" s="13">
        <v>34590</v>
      </c>
      <c r="M2065" s="13">
        <v>369</v>
      </c>
      <c r="N2065" s="13">
        <v>838</v>
      </c>
      <c r="O2065" s="19" t="s">
        <v>44</v>
      </c>
      <c r="P2065" s="6">
        <v>40027.512037037035</v>
      </c>
      <c r="Q2065" s="16" t="s">
        <v>191</v>
      </c>
      <c r="R2065" s="17" t="s">
        <v>7113</v>
      </c>
      <c r="S2065" s="11" t="s">
        <v>7114</v>
      </c>
      <c r="T2065" s="12"/>
      <c r="U2065" s="10" t="str">
        <f>HYPERLINK("https://pbs.twimg.com/profile_images/344027645/tyrexito300grande.jpg","View")</f>
        <v>View</v>
      </c>
    </row>
    <row r="2066" spans="1:21" ht="51">
      <c r="A2066" s="6">
        <v>43436.963749999995</v>
      </c>
      <c r="B2066" s="7" t="str">
        <f>HYPERLINK("https://twitter.com/FrankKulture","@FrankKulture")</f>
        <v>@FrankKulture</v>
      </c>
      <c r="C2066" s="8" t="s">
        <v>7115</v>
      </c>
      <c r="D2066" s="9" t="s">
        <v>7116</v>
      </c>
      <c r="E2066" s="10" t="str">
        <f>HYPERLINK("https://twitter.com/FrankKulture/status/1069352459703865344","1069352459703865344")</f>
        <v>1069352459703865344</v>
      </c>
      <c r="F2066" s="12"/>
      <c r="G2066" s="12"/>
      <c r="H2066" s="12"/>
      <c r="I2066" s="13">
        <v>1</v>
      </c>
      <c r="J2066" s="13">
        <v>1</v>
      </c>
      <c r="K2066" s="14" t="str">
        <f>HYPERLINK("http://twitter.com/download/android","Twitter for Android")</f>
        <v>Twitter for Android</v>
      </c>
      <c r="L2066" s="13">
        <v>1651</v>
      </c>
      <c r="M2066" s="13">
        <v>680</v>
      </c>
      <c r="N2066" s="13">
        <v>16</v>
      </c>
      <c r="O2066" s="15"/>
      <c r="P2066" s="6">
        <v>40989.60565972222</v>
      </c>
      <c r="Q2066" s="16" t="s">
        <v>7117</v>
      </c>
      <c r="R2066" s="17" t="s">
        <v>7118</v>
      </c>
      <c r="S2066" s="12"/>
      <c r="T2066" s="12"/>
      <c r="U2066" s="10" t="str">
        <f>HYPERLINK("https://pbs.twimg.com/profile_images/881875879940554752/lwua7mnK.jpg","View")</f>
        <v>View</v>
      </c>
    </row>
    <row r="2067" spans="1:21" ht="30.6">
      <c r="A2067" s="6">
        <v>43436.962708333333</v>
      </c>
      <c r="B2067" s="7" t="str">
        <f>HYPERLINK("https://twitter.com/videl","@videl")</f>
        <v>@videl</v>
      </c>
      <c r="C2067" s="8" t="s">
        <v>7119</v>
      </c>
      <c r="D2067" s="9" t="s">
        <v>7120</v>
      </c>
      <c r="E2067" s="10" t="str">
        <f>HYPERLINK("https://twitter.com/videl/status/1069352081327353856","1069352081327353856")</f>
        <v>1069352081327353856</v>
      </c>
      <c r="F2067" s="12"/>
      <c r="G2067" s="12"/>
      <c r="H2067" s="12"/>
      <c r="I2067" s="13">
        <v>0</v>
      </c>
      <c r="J2067" s="13">
        <v>1</v>
      </c>
      <c r="K2067" s="14" t="str">
        <f>HYPERLINK("http://twitter.com/#!/download/ipad","Twitter for iPad")</f>
        <v>Twitter for iPad</v>
      </c>
      <c r="L2067" s="13">
        <v>984</v>
      </c>
      <c r="M2067" s="13">
        <v>1841</v>
      </c>
      <c r="N2067" s="13">
        <v>57</v>
      </c>
      <c r="O2067" s="15"/>
      <c r="P2067" s="6">
        <v>39516.623298611114</v>
      </c>
      <c r="Q2067" s="16" t="s">
        <v>7121</v>
      </c>
      <c r="R2067" s="17" t="s">
        <v>7122</v>
      </c>
      <c r="S2067" s="11" t="s">
        <v>7123</v>
      </c>
      <c r="T2067" s="12"/>
      <c r="U2067" s="10" t="str">
        <f>HYPERLINK("https://pbs.twimg.com/profile_images/1049239663364464640/4RuUOPza.jpg","View")</f>
        <v>View</v>
      </c>
    </row>
    <row r="2068" spans="1:21" ht="30.6">
      <c r="A2068" s="6">
        <v>43436.959178240737</v>
      </c>
      <c r="B2068" s="7" t="str">
        <f>HYPERLINK("https://twitter.com/AnaGSempere","@AnaGSempere")</f>
        <v>@AnaGSempere</v>
      </c>
      <c r="C2068" s="8" t="s">
        <v>7124</v>
      </c>
      <c r="D2068" s="9" t="s">
        <v>7125</v>
      </c>
      <c r="E2068" s="10" t="str">
        <f>HYPERLINK("https://twitter.com/AnaGSempere/status/1069350801200558080","1069350801200558080")</f>
        <v>1069350801200558080</v>
      </c>
      <c r="F2068" s="12"/>
      <c r="G2068" s="12"/>
      <c r="H2068" s="12"/>
      <c r="I2068" s="13">
        <v>0</v>
      </c>
      <c r="J2068" s="13">
        <v>1</v>
      </c>
      <c r="K2068" s="14" t="str">
        <f>HYPERLINK("http://twitter.com/download/android","Twitter for Android")</f>
        <v>Twitter for Android</v>
      </c>
      <c r="L2068" s="13">
        <v>1837</v>
      </c>
      <c r="M2068" s="13">
        <v>387</v>
      </c>
      <c r="N2068" s="13">
        <v>43</v>
      </c>
      <c r="O2068" s="15"/>
      <c r="P2068" s="6">
        <v>40820.930520833332</v>
      </c>
      <c r="Q2068" s="16" t="s">
        <v>7126</v>
      </c>
      <c r="R2068" s="20"/>
      <c r="S2068" s="12"/>
      <c r="T2068" s="12"/>
      <c r="U2068" s="10" t="str">
        <f>HYPERLINK("https://pbs.twimg.com/profile_images/919201590313136129/O6pOQ_CA.jpg","View")</f>
        <v>View</v>
      </c>
    </row>
    <row r="2069" spans="1:21" ht="20.399999999999999">
      <c r="A2069" s="6">
        <v>43436.959039351852</v>
      </c>
      <c r="B2069" s="7" t="str">
        <f>HYPERLINK("https://twitter.com/voz_populi","@voz_populi")</f>
        <v>@voz_populi</v>
      </c>
      <c r="C2069" s="8" t="s">
        <v>1559</v>
      </c>
      <c r="D2069" s="9" t="s">
        <v>7127</v>
      </c>
      <c r="E2069" s="10" t="str">
        <f>HYPERLINK("https://twitter.com/voz_populi/status/1069350753804959744","1069350753804959744")</f>
        <v>1069350753804959744</v>
      </c>
      <c r="F2069" s="11" t="s">
        <v>7128</v>
      </c>
      <c r="G2069" s="12"/>
      <c r="H2069" s="12"/>
      <c r="I2069" s="13">
        <v>5</v>
      </c>
      <c r="J2069" s="13">
        <v>2</v>
      </c>
      <c r="K2069" s="14" t="str">
        <f>HYPERLINK("https://buffer.com","Buffer")</f>
        <v>Buffer</v>
      </c>
      <c r="L2069" s="13">
        <v>92928</v>
      </c>
      <c r="M2069" s="13">
        <v>1396</v>
      </c>
      <c r="N2069" s="13">
        <v>2709</v>
      </c>
      <c r="O2069" s="19" t="s">
        <v>44</v>
      </c>
      <c r="P2069" s="6">
        <v>40792.585856481484</v>
      </c>
      <c r="Q2069" s="12"/>
      <c r="R2069" s="17" t="s">
        <v>1562</v>
      </c>
      <c r="S2069" s="11" t="s">
        <v>1563</v>
      </c>
      <c r="T2069" s="12"/>
      <c r="U2069" s="10" t="str">
        <f>HYPERLINK("https://pbs.twimg.com/profile_images/1006562248830144512/xFizZY0L.jpg","View")</f>
        <v>View</v>
      </c>
    </row>
    <row r="2070" spans="1:21" ht="40.799999999999997">
      <c r="A2070" s="6">
        <v>43436.959027777775</v>
      </c>
      <c r="B2070" s="7" t="str">
        <f>HYPERLINK("https://twitter.com/nandoconCuba","@nandoconCuba")</f>
        <v>@nandoconCuba</v>
      </c>
      <c r="C2070" s="8" t="s">
        <v>7129</v>
      </c>
      <c r="D2070" s="9" t="s">
        <v>7130</v>
      </c>
      <c r="E2070" s="10" t="str">
        <f>HYPERLINK("https://twitter.com/nandoconCuba/status/1069350747509334016","1069350747509334016")</f>
        <v>1069350747509334016</v>
      </c>
      <c r="F2070" s="12"/>
      <c r="G2070" s="12"/>
      <c r="H2070" s="12"/>
      <c r="I2070" s="13">
        <v>0</v>
      </c>
      <c r="J2070" s="13">
        <v>0</v>
      </c>
      <c r="K2070" s="14" t="str">
        <f>HYPERLINK("http://twitter.com/download/iphone","Twitter for iPhone")</f>
        <v>Twitter for iPhone</v>
      </c>
      <c r="L2070" s="13">
        <v>639</v>
      </c>
      <c r="M2070" s="13">
        <v>1086</v>
      </c>
      <c r="N2070" s="13">
        <v>15</v>
      </c>
      <c r="O2070" s="15"/>
      <c r="P2070" s="6">
        <v>40682.440092592595</v>
      </c>
      <c r="Q2070" s="16" t="s">
        <v>48</v>
      </c>
      <c r="R2070" s="17" t="s">
        <v>7131</v>
      </c>
      <c r="S2070" s="12"/>
      <c r="T2070" s="12"/>
      <c r="U2070" s="10" t="str">
        <f>HYPERLINK("https://pbs.twimg.com/profile_images/815533565127618560/jJlFXlPN.jpg","View")</f>
        <v>View</v>
      </c>
    </row>
    <row r="2071" spans="1:21" ht="30.6">
      <c r="A2071" s="6">
        <v>43436.958379629628</v>
      </c>
      <c r="B2071" s="7" t="str">
        <f>HYPERLINK("https://twitter.com/erraticorunhes","@erraticorunhes")</f>
        <v>@erraticorunhes</v>
      </c>
      <c r="C2071" s="8" t="s">
        <v>7132</v>
      </c>
      <c r="D2071" s="9" t="s">
        <v>7133</v>
      </c>
      <c r="E2071" s="10" t="str">
        <f>HYPERLINK("https://twitter.com/erraticorunhes/status/1069350514612207616","1069350514612207616")</f>
        <v>1069350514612207616</v>
      </c>
      <c r="F2071" s="12"/>
      <c r="G2071" s="12"/>
      <c r="H2071" s="12"/>
      <c r="I2071" s="13">
        <v>0</v>
      </c>
      <c r="J2071" s="13">
        <v>0</v>
      </c>
      <c r="K2071" s="14" t="str">
        <f>HYPERLINK("http://twitter.com","Twitter Web Client")</f>
        <v>Twitter Web Client</v>
      </c>
      <c r="L2071" s="13">
        <v>2010</v>
      </c>
      <c r="M2071" s="13">
        <v>485</v>
      </c>
      <c r="N2071" s="13">
        <v>32</v>
      </c>
      <c r="O2071" s="15"/>
      <c r="P2071" s="6">
        <v>42133.674178240741</v>
      </c>
      <c r="Q2071" s="16" t="s">
        <v>7134</v>
      </c>
      <c r="R2071" s="17" t="s">
        <v>7135</v>
      </c>
      <c r="S2071" s="12"/>
      <c r="T2071" s="12"/>
      <c r="U2071" s="10" t="str">
        <f>HYPERLINK("https://pbs.twimg.com/profile_images/946523787595526144/A9wjQ_N5.jpg","View")</f>
        <v>View</v>
      </c>
    </row>
    <row r="2072" spans="1:21" ht="20.399999999999999">
      <c r="A2072" s="6">
        <v>43436.958344907413</v>
      </c>
      <c r="B2072" s="7" t="str">
        <f>HYPERLINK("https://twitter.com/qmunty","@qmunty")</f>
        <v>@qmunty</v>
      </c>
      <c r="C2072" s="8" t="s">
        <v>7136</v>
      </c>
      <c r="D2072" s="9" t="s">
        <v>7137</v>
      </c>
      <c r="E2072" s="10" t="str">
        <f>HYPERLINK("https://twitter.com/qmunty/status/1069350501932765189","1069350501932765189")</f>
        <v>1069350501932765189</v>
      </c>
      <c r="F2072" s="11" t="s">
        <v>7138</v>
      </c>
      <c r="G2072" s="12"/>
      <c r="H2072" s="12"/>
      <c r="I2072" s="13">
        <v>0</v>
      </c>
      <c r="J2072" s="13">
        <v>0</v>
      </c>
      <c r="K2072" s="14" t="str">
        <f>HYPERLINK("https://buffer.com","Buffer")</f>
        <v>Buffer</v>
      </c>
      <c r="L2072" s="13">
        <v>6691</v>
      </c>
      <c r="M2072" s="13">
        <v>1523</v>
      </c>
      <c r="N2072" s="13">
        <v>269</v>
      </c>
      <c r="O2072" s="15"/>
      <c r="P2072" s="6">
        <v>40077.707986111112</v>
      </c>
      <c r="Q2072" s="16" t="s">
        <v>7139</v>
      </c>
      <c r="R2072" s="17" t="s">
        <v>7140</v>
      </c>
      <c r="S2072" s="11" t="s">
        <v>7141</v>
      </c>
      <c r="T2072" s="12"/>
      <c r="U2072" s="10" t="str">
        <f>HYPERLINK("https://pbs.twimg.com/profile_images/1739128206/Panther-Logo-Twitter.jpg","View")</f>
        <v>View</v>
      </c>
    </row>
    <row r="2073" spans="1:21" ht="30.6">
      <c r="A2073" s="6">
        <v>43436.958078703705</v>
      </c>
      <c r="B2073" s="7" t="str">
        <f>HYPERLINK("https://twitter.com/unmundolibre","@unmundolibre")</f>
        <v>@unmundolibre</v>
      </c>
      <c r="C2073" s="8" t="s">
        <v>7142</v>
      </c>
      <c r="D2073" s="9" t="s">
        <v>7143</v>
      </c>
      <c r="E2073" s="10" t="str">
        <f>HYPERLINK("https://twitter.com/unmundolibre/status/1069350403970605059","1069350403970605059")</f>
        <v>1069350403970605059</v>
      </c>
      <c r="F2073" s="12"/>
      <c r="G2073" s="12"/>
      <c r="H2073" s="12"/>
      <c r="I2073" s="13">
        <v>1</v>
      </c>
      <c r="J2073" s="13">
        <v>2</v>
      </c>
      <c r="K2073" s="14" t="str">
        <f>HYPERLINK("http://twitter.com","Twitter Web Client")</f>
        <v>Twitter Web Client</v>
      </c>
      <c r="L2073" s="13">
        <v>13804</v>
      </c>
      <c r="M2073" s="13">
        <v>889</v>
      </c>
      <c r="N2073" s="13">
        <v>195</v>
      </c>
      <c r="O2073" s="15"/>
      <c r="P2073" s="6">
        <v>39548.50172453704</v>
      </c>
      <c r="Q2073" s="16" t="s">
        <v>7144</v>
      </c>
      <c r="R2073" s="17" t="s">
        <v>7145</v>
      </c>
      <c r="S2073" s="12"/>
      <c r="T2073" s="12"/>
      <c r="U2073" s="10" t="str">
        <f>HYPERLINK("https://pbs.twimg.com/profile_images/913497477600432128/CTJOp2JL.jpg","View")</f>
        <v>View</v>
      </c>
    </row>
    <row r="2074" spans="1:21" ht="20.399999999999999">
      <c r="A2074" s="6">
        <v>43436.957037037035</v>
      </c>
      <c r="B2074" s="7" t="str">
        <f>HYPERLINK("https://twitter.com/daniel_cardillo","@daniel_cardillo")</f>
        <v>@daniel_cardillo</v>
      </c>
      <c r="C2074" s="8" t="s">
        <v>7146</v>
      </c>
      <c r="D2074" s="9" t="s">
        <v>7147</v>
      </c>
      <c r="E2074" s="10" t="str">
        <f>HYPERLINK("https://twitter.com/daniel_cardillo/status/1069350027942920197","1069350027942920197")</f>
        <v>1069350027942920197</v>
      </c>
      <c r="F2074" s="12"/>
      <c r="G2074" s="12"/>
      <c r="H2074" s="12"/>
      <c r="I2074" s="13">
        <v>0</v>
      </c>
      <c r="J2074" s="13">
        <v>6</v>
      </c>
      <c r="K2074" s="14" t="str">
        <f>HYPERLINK("http://twitter.com/download/iphone","Twitter for iPhone")</f>
        <v>Twitter for iPhone</v>
      </c>
      <c r="L2074" s="13">
        <v>104</v>
      </c>
      <c r="M2074" s="13">
        <v>311</v>
      </c>
      <c r="N2074" s="13">
        <v>1</v>
      </c>
      <c r="O2074" s="15"/>
      <c r="P2074" s="6">
        <v>41099.798541666663</v>
      </c>
      <c r="Q2074" s="16" t="s">
        <v>7148</v>
      </c>
      <c r="R2074" s="20"/>
      <c r="S2074" s="12"/>
      <c r="T2074" s="12"/>
      <c r="U2074" s="10" t="str">
        <f>HYPERLINK("https://pbs.twimg.com/profile_images/472238808856268802/VuP7yFGF.jpeg","View")</f>
        <v>View</v>
      </c>
    </row>
    <row r="2075" spans="1:21" ht="20.399999999999999">
      <c r="A2075" s="6">
        <v>43436.957002314812</v>
      </c>
      <c r="B2075" s="7" t="str">
        <f>HYPERLINK("https://twitter.com/javi_garcia_626","@javi_garcia_626")</f>
        <v>@javi_garcia_626</v>
      </c>
      <c r="C2075" s="8" t="s">
        <v>7149</v>
      </c>
      <c r="D2075" s="9" t="s">
        <v>7150</v>
      </c>
      <c r="E2075" s="10" t="str">
        <f>HYPERLINK("https://twitter.com/javi_garcia_626/status/1069350013556482049","1069350013556482049")</f>
        <v>1069350013556482049</v>
      </c>
      <c r="F2075" s="11" t="s">
        <v>7151</v>
      </c>
      <c r="G2075" s="11" t="s">
        <v>7152</v>
      </c>
      <c r="H2075" s="12"/>
      <c r="I2075" s="13">
        <v>1</v>
      </c>
      <c r="J2075" s="13">
        <v>0</v>
      </c>
      <c r="K2075" s="14" t="str">
        <f>HYPERLINK("http://twitter.com/download/android","Twitter for Android")</f>
        <v>Twitter for Android</v>
      </c>
      <c r="L2075" s="13">
        <v>212</v>
      </c>
      <c r="M2075" s="13">
        <v>361</v>
      </c>
      <c r="N2075" s="13">
        <v>3</v>
      </c>
      <c r="O2075" s="15"/>
      <c r="P2075" s="6">
        <v>42552.573645833334</v>
      </c>
      <c r="Q2075" s="16" t="s">
        <v>7153</v>
      </c>
      <c r="R2075" s="17" t="s">
        <v>7154</v>
      </c>
      <c r="S2075" s="12"/>
      <c r="T2075" s="12"/>
      <c r="U2075" s="10" t="str">
        <f>HYPERLINK("https://pbs.twimg.com/profile_images/1067340477685469185/cI3J5T-C.jpg","View")</f>
        <v>View</v>
      </c>
    </row>
    <row r="2076" spans="1:21" ht="20.399999999999999">
      <c r="A2076" s="6">
        <v>43436.956724537042</v>
      </c>
      <c r="B2076" s="7" t="str">
        <f>HYPERLINK("https://twitter.com/coge_el","@coge_el")</f>
        <v>@coge_el</v>
      </c>
      <c r="C2076" s="8" t="s">
        <v>7155</v>
      </c>
      <c r="D2076" s="9" t="s">
        <v>7156</v>
      </c>
      <c r="E2076" s="10" t="str">
        <f>HYPERLINK("https://twitter.com/coge_el/status/1069349911471292421","1069349911471292421")</f>
        <v>1069349911471292421</v>
      </c>
      <c r="F2076" s="12"/>
      <c r="G2076" s="12"/>
      <c r="H2076" s="12"/>
      <c r="I2076" s="13">
        <v>0</v>
      </c>
      <c r="J2076" s="13">
        <v>1</v>
      </c>
      <c r="K2076" s="14" t="str">
        <f>HYPERLINK("http://twitter.com/download/iphone","Twitter for iPhone")</f>
        <v>Twitter for iPhone</v>
      </c>
      <c r="L2076" s="13">
        <v>1183</v>
      </c>
      <c r="M2076" s="13">
        <v>583</v>
      </c>
      <c r="N2076" s="13">
        <v>8</v>
      </c>
      <c r="O2076" s="15"/>
      <c r="P2076" s="6">
        <v>41597.877858796295</v>
      </c>
      <c r="Q2076" s="12"/>
      <c r="R2076" s="17" t="s">
        <v>7157</v>
      </c>
      <c r="S2076" s="12"/>
      <c r="T2076" s="12"/>
      <c r="U2076" s="10" t="str">
        <f>HYPERLINK("https://pbs.twimg.com/profile_images/429616045616553986/uJQNf8su.jpeg","View")</f>
        <v>View</v>
      </c>
    </row>
    <row r="2077" spans="1:21" ht="30.6">
      <c r="A2077" s="6">
        <v>43436.956435185188</v>
      </c>
      <c r="B2077" s="7" t="str">
        <f>HYPERLINK("https://twitter.com/Bartual_Carlos","@Bartual_Carlos")</f>
        <v>@Bartual_Carlos</v>
      </c>
      <c r="C2077" s="8" t="s">
        <v>7158</v>
      </c>
      <c r="D2077" s="9" t="s">
        <v>7159</v>
      </c>
      <c r="E2077" s="10" t="str">
        <f>HYPERLINK("https://twitter.com/Bartual_Carlos/status/1069349809763569664","1069349809763569664")</f>
        <v>1069349809763569664</v>
      </c>
      <c r="F2077" s="12"/>
      <c r="G2077" s="12"/>
      <c r="H2077" s="12"/>
      <c r="I2077" s="13">
        <v>0</v>
      </c>
      <c r="J2077" s="13">
        <v>0</v>
      </c>
      <c r="K2077" s="14" t="str">
        <f>HYPERLINK("http://twitter.com/download/android","Twitter for Android")</f>
        <v>Twitter for Android</v>
      </c>
      <c r="L2077" s="13">
        <v>584</v>
      </c>
      <c r="M2077" s="13">
        <v>399</v>
      </c>
      <c r="N2077" s="13">
        <v>7</v>
      </c>
      <c r="O2077" s="15"/>
      <c r="P2077" s="6">
        <v>41434.483807870369</v>
      </c>
      <c r="Q2077" s="16" t="s">
        <v>7160</v>
      </c>
      <c r="R2077" s="17" t="s">
        <v>7161</v>
      </c>
      <c r="S2077" s="11" t="s">
        <v>7162</v>
      </c>
      <c r="T2077" s="12"/>
      <c r="U2077" s="10" t="str">
        <f>HYPERLINK("https://pbs.twimg.com/profile_images/1034742923378733056/gd1qd8Dd.jpg","View")</f>
        <v>View</v>
      </c>
    </row>
    <row r="2078" spans="1:21" ht="30.6">
      <c r="A2078" s="6">
        <v>43436.955567129626</v>
      </c>
      <c r="B2078" s="7" t="str">
        <f>HYPERLINK("https://twitter.com/dani_sanzo","@dani_sanzo")</f>
        <v>@dani_sanzo</v>
      </c>
      <c r="C2078" s="8" t="s">
        <v>7163</v>
      </c>
      <c r="D2078" s="9" t="s">
        <v>7164</v>
      </c>
      <c r="E2078" s="10" t="str">
        <f>HYPERLINK("https://twitter.com/dani_sanzo/status/1069349493303386112","1069349493303386112")</f>
        <v>1069349493303386112</v>
      </c>
      <c r="F2078" s="12"/>
      <c r="G2078" s="12"/>
      <c r="H2078" s="12"/>
      <c r="I2078" s="13">
        <v>0</v>
      </c>
      <c r="J2078" s="13">
        <v>1</v>
      </c>
      <c r="K2078" s="14" t="str">
        <f>HYPERLINK("http://twitter.com","Twitter Web Client")</f>
        <v>Twitter Web Client</v>
      </c>
      <c r="L2078" s="13">
        <v>271</v>
      </c>
      <c r="M2078" s="13">
        <v>683</v>
      </c>
      <c r="N2078" s="13">
        <v>5</v>
      </c>
      <c r="O2078" s="15"/>
      <c r="P2078" s="6">
        <v>40402.558252314819</v>
      </c>
      <c r="Q2078" s="16" t="s">
        <v>2109</v>
      </c>
      <c r="R2078" s="17" t="s">
        <v>7165</v>
      </c>
      <c r="S2078" s="12"/>
      <c r="T2078" s="12"/>
      <c r="U2078" s="10" t="str">
        <f>HYPERLINK("https://pbs.twimg.com/profile_images/3305921039/a16e1ae2d1d50cd2d9491796bb59f3c9.png","View")</f>
        <v>View</v>
      </c>
    </row>
    <row r="2079" spans="1:21" ht="40.799999999999997">
      <c r="A2079" s="6">
        <v>43436.955416666664</v>
      </c>
      <c r="B2079" s="7" t="str">
        <f>HYPERLINK("https://twitter.com/Bartual_Carlos","@Bartual_Carlos")</f>
        <v>@Bartual_Carlos</v>
      </c>
      <c r="C2079" s="8" t="s">
        <v>7158</v>
      </c>
      <c r="D2079" s="9" t="s">
        <v>7166</v>
      </c>
      <c r="E2079" s="10" t="str">
        <f>HYPERLINK("https://twitter.com/Bartual_Carlos/status/1069349440169873411","1069349440169873411")</f>
        <v>1069349440169873411</v>
      </c>
      <c r="F2079" s="12"/>
      <c r="G2079" s="12"/>
      <c r="H2079" s="12"/>
      <c r="I2079" s="13">
        <v>0</v>
      </c>
      <c r="J2079" s="13">
        <v>0</v>
      </c>
      <c r="K2079" s="14" t="str">
        <f t="shared" ref="K2079:K2080" si="366">HYPERLINK("http://twitter.com/download/android","Twitter for Android")</f>
        <v>Twitter for Android</v>
      </c>
      <c r="L2079" s="13">
        <v>584</v>
      </c>
      <c r="M2079" s="13">
        <v>399</v>
      </c>
      <c r="N2079" s="13">
        <v>7</v>
      </c>
      <c r="O2079" s="15"/>
      <c r="P2079" s="6">
        <v>41434.483807870369</v>
      </c>
      <c r="Q2079" s="16" t="s">
        <v>7160</v>
      </c>
      <c r="R2079" s="17" t="s">
        <v>7161</v>
      </c>
      <c r="S2079" s="11" t="s">
        <v>7162</v>
      </c>
      <c r="T2079" s="12"/>
      <c r="U2079" s="10" t="str">
        <f>HYPERLINK("https://pbs.twimg.com/profile_images/1034742923378733056/gd1qd8Dd.jpg","View")</f>
        <v>View</v>
      </c>
    </row>
    <row r="2080" spans="1:21" ht="61.2">
      <c r="A2080" s="6">
        <v>43436.955300925925</v>
      </c>
      <c r="B2080" s="7" t="str">
        <f>HYPERLINK("https://twitter.com/locodelpelorojo","@locodelpelorojo")</f>
        <v>@locodelpelorojo</v>
      </c>
      <c r="C2080" s="8" t="s">
        <v>4931</v>
      </c>
      <c r="D2080" s="9" t="s">
        <v>7167</v>
      </c>
      <c r="E2080" s="10" t="str">
        <f>HYPERLINK("https://twitter.com/locodelpelorojo/status/1069349398063341574","1069349398063341574")</f>
        <v>1069349398063341574</v>
      </c>
      <c r="F2080" s="11" t="s">
        <v>3133</v>
      </c>
      <c r="G2080" s="11" t="s">
        <v>3134</v>
      </c>
      <c r="H2080" s="12"/>
      <c r="I2080" s="13">
        <v>1</v>
      </c>
      <c r="J2080" s="13">
        <v>1</v>
      </c>
      <c r="K2080" s="14" t="str">
        <f t="shared" si="366"/>
        <v>Twitter for Android</v>
      </c>
      <c r="L2080" s="13">
        <v>11902</v>
      </c>
      <c r="M2080" s="13">
        <v>1079</v>
      </c>
      <c r="N2080" s="13">
        <v>575</v>
      </c>
      <c r="O2080" s="15"/>
      <c r="P2080" s="6">
        <v>39818.410254629627</v>
      </c>
      <c r="Q2080" s="16" t="s">
        <v>191</v>
      </c>
      <c r="R2080" s="17" t="s">
        <v>4934</v>
      </c>
      <c r="S2080" s="11" t="s">
        <v>4935</v>
      </c>
      <c r="T2080" s="12"/>
      <c r="U2080" s="10" t="str">
        <f>HYPERLINK("https://pbs.twimg.com/profile_images/722001502630514688/xYe2GDak.jpg","View")</f>
        <v>View</v>
      </c>
    </row>
    <row r="2081" spans="1:21" ht="40.799999999999997">
      <c r="A2081" s="6">
        <v>43436.95511574074</v>
      </c>
      <c r="B2081" s="7" t="str">
        <f>HYPERLINK("https://twitter.com/candidovsky","@candidovsky")</f>
        <v>@candidovsky</v>
      </c>
      <c r="C2081" s="8" t="s">
        <v>391</v>
      </c>
      <c r="D2081" s="9" t="s">
        <v>7168</v>
      </c>
      <c r="E2081" s="10" t="str">
        <f>HYPERLINK("https://twitter.com/candidovsky/status/1069349332078510080","1069349332078510080")</f>
        <v>1069349332078510080</v>
      </c>
      <c r="F2081" s="12"/>
      <c r="G2081" s="12"/>
      <c r="H2081" s="12"/>
      <c r="I2081" s="13">
        <v>1</v>
      </c>
      <c r="J2081" s="13">
        <v>2</v>
      </c>
      <c r="K2081" s="14" t="str">
        <f t="shared" ref="K2081:K2082" si="367">HYPERLINK("http://twitter.com/download/iphone","Twitter for iPhone")</f>
        <v>Twitter for iPhone</v>
      </c>
      <c r="L2081" s="13">
        <v>1886</v>
      </c>
      <c r="M2081" s="13">
        <v>2617</v>
      </c>
      <c r="N2081" s="13">
        <v>4</v>
      </c>
      <c r="O2081" s="15"/>
      <c r="P2081" s="6">
        <v>42556.581585648149</v>
      </c>
      <c r="Q2081" s="16" t="s">
        <v>394</v>
      </c>
      <c r="R2081" s="17" t="s">
        <v>395</v>
      </c>
      <c r="S2081" s="12"/>
      <c r="T2081" s="12"/>
      <c r="U2081" s="10" t="str">
        <f>HYPERLINK("https://pbs.twimg.com/profile_images/1010600127143260161/qkhNRovS.jpg","View")</f>
        <v>View</v>
      </c>
    </row>
    <row r="2082" spans="1:21" ht="51">
      <c r="A2082" s="6">
        <v>43436.954525462963</v>
      </c>
      <c r="B2082" s="7" t="str">
        <f>HYPERLINK("https://twitter.com/_antonioogzlz","@_antonioogzlz")</f>
        <v>@_antonioogzlz</v>
      </c>
      <c r="C2082" s="8" t="s">
        <v>1000</v>
      </c>
      <c r="D2082" s="9" t="s">
        <v>7169</v>
      </c>
      <c r="E2082" s="10" t="str">
        <f>HYPERLINK("https://twitter.com/_antonioogzlz/status/1069349114792615937","1069349114792615937")</f>
        <v>1069349114792615937</v>
      </c>
      <c r="F2082" s="12"/>
      <c r="G2082" s="12"/>
      <c r="H2082" s="12"/>
      <c r="I2082" s="13">
        <v>3</v>
      </c>
      <c r="J2082" s="13">
        <v>15</v>
      </c>
      <c r="K2082" s="14" t="str">
        <f t="shared" si="367"/>
        <v>Twitter for iPhone</v>
      </c>
      <c r="L2082" s="13">
        <v>181</v>
      </c>
      <c r="M2082" s="13">
        <v>281</v>
      </c>
      <c r="N2082" s="13">
        <v>0</v>
      </c>
      <c r="O2082" s="15"/>
      <c r="P2082" s="6">
        <v>42721.825057870374</v>
      </c>
      <c r="Q2082" s="16" t="s">
        <v>389</v>
      </c>
      <c r="R2082" s="17" t="s">
        <v>7170</v>
      </c>
      <c r="S2082" s="11" t="s">
        <v>7171</v>
      </c>
      <c r="T2082" s="12"/>
      <c r="U2082" s="10" t="str">
        <f>HYPERLINK("https://pbs.twimg.com/profile_images/1030167038935875589/somAGtPv.jpg","View")</f>
        <v>View</v>
      </c>
    </row>
    <row r="2083" spans="1:21" ht="30.6">
      <c r="A2083" s="6">
        <v>43436.954259259262</v>
      </c>
      <c r="B2083" s="7" t="str">
        <f>HYPERLINK("https://twitter.com/montesinospablo","@montesinospablo")</f>
        <v>@montesinospablo</v>
      </c>
      <c r="C2083" s="8" t="s">
        <v>2576</v>
      </c>
      <c r="D2083" s="9" t="s">
        <v>7172</v>
      </c>
      <c r="E2083" s="10" t="str">
        <f>HYPERLINK("https://twitter.com/montesinospablo/status/1069349020626231298","1069349020626231298")</f>
        <v>1069349020626231298</v>
      </c>
      <c r="F2083" s="12"/>
      <c r="G2083" s="12"/>
      <c r="H2083" s="12"/>
      <c r="I2083" s="13">
        <v>13</v>
      </c>
      <c r="J2083" s="13">
        <v>23</v>
      </c>
      <c r="K2083" s="14" t="str">
        <f>HYPERLINK("http://twitter.com","Twitter Web Client")</f>
        <v>Twitter Web Client</v>
      </c>
      <c r="L2083" s="13">
        <v>29123</v>
      </c>
      <c r="M2083" s="13">
        <v>409</v>
      </c>
      <c r="N2083" s="13">
        <v>413</v>
      </c>
      <c r="O2083" s="15"/>
      <c r="P2083" s="6">
        <v>40724.585590277777</v>
      </c>
      <c r="Q2083" s="16" t="s">
        <v>2578</v>
      </c>
      <c r="R2083" s="17" t="s">
        <v>2579</v>
      </c>
      <c r="S2083" s="11" t="s">
        <v>2580</v>
      </c>
      <c r="T2083" s="12"/>
      <c r="U2083" s="10" t="str">
        <f>HYPERLINK("https://pbs.twimg.com/profile_images/944519137442791429/E1J9B1C_.jpg","View")</f>
        <v>View</v>
      </c>
    </row>
    <row r="2084" spans="1:21" ht="30.6">
      <c r="A2084" s="6">
        <v>43436.954016203701</v>
      </c>
      <c r="B2084" s="7" t="str">
        <f>HYPERLINK("https://twitter.com/alparpa","@alparpa")</f>
        <v>@alparpa</v>
      </c>
      <c r="C2084" s="8" t="s">
        <v>7173</v>
      </c>
      <c r="D2084" s="9" t="s">
        <v>7174</v>
      </c>
      <c r="E2084" s="10" t="str">
        <f>HYPERLINK("https://twitter.com/alparpa/status/1069348932562665472","1069348932562665472")</f>
        <v>1069348932562665472</v>
      </c>
      <c r="F2084" s="12"/>
      <c r="G2084" s="12"/>
      <c r="H2084" s="12"/>
      <c r="I2084" s="13">
        <v>0</v>
      </c>
      <c r="J2084" s="13">
        <v>1</v>
      </c>
      <c r="K2084" s="14" t="str">
        <f t="shared" ref="K2084:K2085" si="368">HYPERLINK("http://twitter.com/download/android","Twitter for Android")</f>
        <v>Twitter for Android</v>
      </c>
      <c r="L2084" s="13">
        <v>481</v>
      </c>
      <c r="M2084" s="13">
        <v>473</v>
      </c>
      <c r="N2084" s="13">
        <v>9</v>
      </c>
      <c r="O2084" s="15"/>
      <c r="P2084" s="6">
        <v>40576.017106481479</v>
      </c>
      <c r="Q2084" s="16" t="s">
        <v>7175</v>
      </c>
      <c r="R2084" s="17" t="s">
        <v>7176</v>
      </c>
      <c r="S2084" s="12"/>
      <c r="T2084" s="12"/>
      <c r="U2084" s="10" t="str">
        <f>HYPERLINK("https://pbs.twimg.com/profile_images/1054007466562895873/F59SHCLy.jpg","View")</f>
        <v>View</v>
      </c>
    </row>
    <row r="2085" spans="1:21" ht="40.799999999999997">
      <c r="A2085" s="6">
        <v>43436.953784722224</v>
      </c>
      <c r="B2085" s="7" t="str">
        <f>HYPERLINK("https://twitter.com/anavmor","@anavmor")</f>
        <v>@anavmor</v>
      </c>
      <c r="C2085" s="8" t="s">
        <v>7177</v>
      </c>
      <c r="D2085" s="9" t="s">
        <v>7178</v>
      </c>
      <c r="E2085" s="10" t="str">
        <f>HYPERLINK("https://twitter.com/anavmor/status/1069348846969503747","1069348846969503747")</f>
        <v>1069348846969503747</v>
      </c>
      <c r="F2085" s="12"/>
      <c r="G2085" s="12"/>
      <c r="H2085" s="12"/>
      <c r="I2085" s="13">
        <v>8</v>
      </c>
      <c r="J2085" s="13">
        <v>15</v>
      </c>
      <c r="K2085" s="14" t="str">
        <f t="shared" si="368"/>
        <v>Twitter for Android</v>
      </c>
      <c r="L2085" s="13">
        <v>3442</v>
      </c>
      <c r="M2085" s="13">
        <v>1111</v>
      </c>
      <c r="N2085" s="13">
        <v>89</v>
      </c>
      <c r="O2085" s="15"/>
      <c r="P2085" s="6">
        <v>39824.838738425926</v>
      </c>
      <c r="Q2085" s="16" t="s">
        <v>7179</v>
      </c>
      <c r="R2085" s="17" t="s">
        <v>7180</v>
      </c>
      <c r="S2085" s="12"/>
      <c r="T2085" s="12"/>
      <c r="U2085" s="10" t="str">
        <f>HYPERLINK("https://pbs.twimg.com/profile_images/956921591316828160/--jLAp2C.jpg","View")</f>
        <v>View</v>
      </c>
    </row>
    <row r="2086" spans="1:21" ht="51">
      <c r="A2086" s="6">
        <v>43436.95349537037</v>
      </c>
      <c r="B2086" s="7" t="str">
        <f>HYPERLINK("https://twitter.com/almar82","@almar82")</f>
        <v>@almar82</v>
      </c>
      <c r="C2086" s="8" t="s">
        <v>6452</v>
      </c>
      <c r="D2086" s="9" t="s">
        <v>7181</v>
      </c>
      <c r="E2086" s="10" t="str">
        <f>HYPERLINK("https://twitter.com/almar82/status/1069348743139467264","1069348743139467264")</f>
        <v>1069348743139467264</v>
      </c>
      <c r="F2086" s="12"/>
      <c r="G2086" s="11" t="s">
        <v>7182</v>
      </c>
      <c r="H2086" s="12"/>
      <c r="I2086" s="13">
        <v>2</v>
      </c>
      <c r="J2086" s="13">
        <v>0</v>
      </c>
      <c r="K2086" s="14" t="str">
        <f>HYPERLINK("http://twitter.com","Twitter Web Client")</f>
        <v>Twitter Web Client</v>
      </c>
      <c r="L2086" s="13">
        <v>1955</v>
      </c>
      <c r="M2086" s="13">
        <v>964</v>
      </c>
      <c r="N2086" s="13">
        <v>39</v>
      </c>
      <c r="O2086" s="15"/>
      <c r="P2086" s="6">
        <v>40248.655486111107</v>
      </c>
      <c r="Q2086" s="12"/>
      <c r="R2086" s="20"/>
      <c r="S2086" s="12"/>
      <c r="T2086" s="12"/>
      <c r="U2086" s="10" t="str">
        <f>HYPERLINK("https://pbs.twimg.com/profile_images/456180082277486592/E3q_dNiy.jpeg","View")</f>
        <v>View</v>
      </c>
    </row>
    <row r="2087" spans="1:21" ht="30.6">
      <c r="A2087" s="6">
        <v>43436.953402777777</v>
      </c>
      <c r="B2087" s="7" t="str">
        <f>HYPERLINK("https://twitter.com/mighelpasteur","@mighelpasteur")</f>
        <v>@mighelpasteur</v>
      </c>
      <c r="C2087" s="8" t="s">
        <v>7183</v>
      </c>
      <c r="D2087" s="9" t="s">
        <v>7184</v>
      </c>
      <c r="E2087" s="10" t="str">
        <f>HYPERLINK("https://twitter.com/mighelpasteur/status/1069348708981121026","1069348708981121026")</f>
        <v>1069348708981121026</v>
      </c>
      <c r="F2087" s="11" t="s">
        <v>4415</v>
      </c>
      <c r="G2087" s="12"/>
      <c r="H2087" s="12"/>
      <c r="I2087" s="13">
        <v>0</v>
      </c>
      <c r="J2087" s="13">
        <v>0</v>
      </c>
      <c r="K2087" s="14" t="str">
        <f>HYPERLINK("http://twitter.com/download/android","Twitter for Android")</f>
        <v>Twitter for Android</v>
      </c>
      <c r="L2087" s="13">
        <v>404</v>
      </c>
      <c r="M2087" s="13">
        <v>1832</v>
      </c>
      <c r="N2087" s="13">
        <v>4</v>
      </c>
      <c r="O2087" s="15"/>
      <c r="P2087" s="6">
        <v>40220.835185185184</v>
      </c>
      <c r="Q2087" s="16" t="s">
        <v>7185</v>
      </c>
      <c r="R2087" s="17" t="s">
        <v>7186</v>
      </c>
      <c r="S2087" s="12"/>
      <c r="T2087" s="12"/>
      <c r="U2087" s="10" t="str">
        <f>HYPERLINK("https://pbs.twimg.com/profile_images/957220756999503872/wd09mdJJ.jpg","View")</f>
        <v>View</v>
      </c>
    </row>
    <row r="2088" spans="1:21" ht="51">
      <c r="A2088" s="6">
        <v>43436.951226851852</v>
      </c>
      <c r="B2088" s="7" t="str">
        <f>HYPERLINK("https://twitter.com/marcosrodp","@marcosrodp")</f>
        <v>@marcosrodp</v>
      </c>
      <c r="C2088" s="8" t="s">
        <v>7187</v>
      </c>
      <c r="D2088" s="9" t="s">
        <v>7188</v>
      </c>
      <c r="E2088" s="10" t="str">
        <f>HYPERLINK("https://twitter.com/marcosrodp/status/1069347922452594694","1069347922452594694")</f>
        <v>1069347922452594694</v>
      </c>
      <c r="F2088" s="11" t="s">
        <v>7189</v>
      </c>
      <c r="G2088" s="12"/>
      <c r="H2088" s="12"/>
      <c r="I2088" s="13">
        <v>0</v>
      </c>
      <c r="J2088" s="13">
        <v>0</v>
      </c>
      <c r="K2088" s="14" t="str">
        <f t="shared" ref="K2088:K2089" si="369">HYPERLINK("http://twitter.com","Twitter Web Client")</f>
        <v>Twitter Web Client</v>
      </c>
      <c r="L2088" s="13">
        <v>602</v>
      </c>
      <c r="M2088" s="13">
        <v>1238</v>
      </c>
      <c r="N2088" s="13">
        <v>27</v>
      </c>
      <c r="O2088" s="15"/>
      <c r="P2088" s="6">
        <v>40616.048032407409</v>
      </c>
      <c r="Q2088" s="16" t="s">
        <v>170</v>
      </c>
      <c r="R2088" s="17" t="s">
        <v>7190</v>
      </c>
      <c r="S2088" s="12"/>
      <c r="T2088" s="12"/>
      <c r="U2088" s="10" t="str">
        <f>HYPERLINK("https://pbs.twimg.com/profile_images/673020481444950016/8XvptbmU.jpg","View")</f>
        <v>View</v>
      </c>
    </row>
    <row r="2089" spans="1:21" ht="51">
      <c r="A2089" s="6">
        <v>43436.951006944444</v>
      </c>
      <c r="B2089" s="7" t="str">
        <f>HYPERLINK("https://twitter.com/JUAN032402","@JUAN032402")</f>
        <v>@JUAN032402</v>
      </c>
      <c r="C2089" s="8" t="s">
        <v>4198</v>
      </c>
      <c r="D2089" s="9" t="s">
        <v>7191</v>
      </c>
      <c r="E2089" s="10" t="str">
        <f>HYPERLINK("https://twitter.com/JUAN032402/status/1069347840894341120","1069347840894341120")</f>
        <v>1069347840894341120</v>
      </c>
      <c r="F2089" s="12"/>
      <c r="G2089" s="12"/>
      <c r="H2089" s="12"/>
      <c r="I2089" s="13">
        <v>0</v>
      </c>
      <c r="J2089" s="13">
        <v>0</v>
      </c>
      <c r="K2089" s="14" t="str">
        <f t="shared" si="369"/>
        <v>Twitter Web Client</v>
      </c>
      <c r="L2089" s="13">
        <v>70</v>
      </c>
      <c r="M2089" s="13">
        <v>105</v>
      </c>
      <c r="N2089" s="13">
        <v>2</v>
      </c>
      <c r="O2089" s="15"/>
      <c r="P2089" s="6">
        <v>41699.489537037036</v>
      </c>
      <c r="Q2089" s="12"/>
      <c r="R2089" s="20"/>
      <c r="S2089" s="12"/>
      <c r="T2089" s="12"/>
      <c r="U2089" s="10" t="str">
        <f>HYPERLINK("https://pbs.twimg.com/profile_images/439721605988483072/cn08ZCiP.jpeg","View")</f>
        <v>View</v>
      </c>
    </row>
    <row r="2090" spans="1:21" ht="51">
      <c r="A2090" s="6">
        <v>43436.949918981481</v>
      </c>
      <c r="B2090" s="7" t="str">
        <f>HYPERLINK("https://twitter.com/AguadoMaite","@AguadoMaite")</f>
        <v>@AguadoMaite</v>
      </c>
      <c r="C2090" s="8" t="s">
        <v>7192</v>
      </c>
      <c r="D2090" s="9" t="s">
        <v>7193</v>
      </c>
      <c r="E2090" s="10" t="str">
        <f>HYPERLINK("https://twitter.com/AguadoMaite/status/1069347445635801089","1069347445635801089")</f>
        <v>1069347445635801089</v>
      </c>
      <c r="F2090" s="12"/>
      <c r="G2090" s="12"/>
      <c r="H2090" s="12"/>
      <c r="I2090" s="13">
        <v>0</v>
      </c>
      <c r="J2090" s="13">
        <v>0</v>
      </c>
      <c r="K2090" s="14" t="str">
        <f t="shared" ref="K2090:K2091" si="370">HYPERLINK("http://twitter.com/download/android","Twitter for Android")</f>
        <v>Twitter for Android</v>
      </c>
      <c r="L2090" s="13">
        <v>1792</v>
      </c>
      <c r="M2090" s="13">
        <v>2185</v>
      </c>
      <c r="N2090" s="13">
        <v>42</v>
      </c>
      <c r="O2090" s="15"/>
      <c r="P2090" s="6">
        <v>40912.831643518519</v>
      </c>
      <c r="Q2090" s="12"/>
      <c r="R2090" s="20"/>
      <c r="S2090" s="12"/>
      <c r="T2090" s="12"/>
      <c r="U2090" s="10" t="str">
        <f>HYPERLINK("https://pbs.twimg.com/profile_images/1070035925693095936/qDncDBHr.jpg","View")</f>
        <v>View</v>
      </c>
    </row>
    <row r="2091" spans="1:21" ht="30.6">
      <c r="A2091" s="6">
        <v>43436.949224537035</v>
      </c>
      <c r="B2091" s="7" t="str">
        <f>HYPERLINK("https://twitter.com/mighelpasteur","@mighelpasteur")</f>
        <v>@mighelpasteur</v>
      </c>
      <c r="C2091" s="8" t="s">
        <v>7183</v>
      </c>
      <c r="D2091" s="9" t="s">
        <v>7184</v>
      </c>
      <c r="E2091" s="10" t="str">
        <f>HYPERLINK("https://twitter.com/mighelpasteur/status/1069347195063803910","1069347195063803910")</f>
        <v>1069347195063803910</v>
      </c>
      <c r="F2091" s="11" t="s">
        <v>7194</v>
      </c>
      <c r="G2091" s="12"/>
      <c r="H2091" s="12"/>
      <c r="I2091" s="13">
        <v>0</v>
      </c>
      <c r="J2091" s="13">
        <v>0</v>
      </c>
      <c r="K2091" s="14" t="str">
        <f t="shared" si="370"/>
        <v>Twitter for Android</v>
      </c>
      <c r="L2091" s="13">
        <v>404</v>
      </c>
      <c r="M2091" s="13">
        <v>1832</v>
      </c>
      <c r="N2091" s="13">
        <v>4</v>
      </c>
      <c r="O2091" s="15"/>
      <c r="P2091" s="6">
        <v>40220.835185185184</v>
      </c>
      <c r="Q2091" s="16" t="s">
        <v>7185</v>
      </c>
      <c r="R2091" s="17" t="s">
        <v>7186</v>
      </c>
      <c r="S2091" s="12"/>
      <c r="T2091" s="12"/>
      <c r="U2091" s="10" t="str">
        <f>HYPERLINK("https://pbs.twimg.com/profile_images/957220756999503872/wd09mdJJ.jpg","View")</f>
        <v>View</v>
      </c>
    </row>
    <row r="2092" spans="1:21" ht="20.399999999999999">
      <c r="A2092" s="6">
        <v>43436.948958333334</v>
      </c>
      <c r="B2092" s="7" t="str">
        <f>HYPERLINK("https://twitter.com/DRYague","@DRYague")</f>
        <v>@DRYague</v>
      </c>
      <c r="C2092" s="8" t="s">
        <v>3178</v>
      </c>
      <c r="D2092" s="9" t="s">
        <v>7195</v>
      </c>
      <c r="E2092" s="10" t="str">
        <f>HYPERLINK("https://twitter.com/DRYague/status/1069347099286867971","1069347099286867971")</f>
        <v>1069347099286867971</v>
      </c>
      <c r="F2092" s="12"/>
      <c r="G2092" s="12"/>
      <c r="H2092" s="12"/>
      <c r="I2092" s="13">
        <v>0</v>
      </c>
      <c r="J2092" s="13">
        <v>0</v>
      </c>
      <c r="K2092" s="14" t="str">
        <f>HYPERLINK("http://twitter.com","Twitter Web Client")</f>
        <v>Twitter Web Client</v>
      </c>
      <c r="L2092" s="13">
        <v>897</v>
      </c>
      <c r="M2092" s="13">
        <v>1137</v>
      </c>
      <c r="N2092" s="13">
        <v>18</v>
      </c>
      <c r="O2092" s="15"/>
      <c r="P2092" s="6">
        <v>40684.34547453704</v>
      </c>
      <c r="Q2092" s="16" t="s">
        <v>7196</v>
      </c>
      <c r="R2092" s="17" t="s">
        <v>7197</v>
      </c>
      <c r="S2092" s="11" t="s">
        <v>7198</v>
      </c>
      <c r="T2092" s="12"/>
      <c r="U2092" s="10" t="str">
        <f>HYPERLINK("https://pbs.twimg.com/profile_images/523694062834950145/p4It299N.jpeg","View")</f>
        <v>View</v>
      </c>
    </row>
    <row r="2093" spans="1:21" ht="71.400000000000006">
      <c r="A2093" s="6">
        <v>43436.948912037042</v>
      </c>
      <c r="B2093" s="7" t="str">
        <f>HYPERLINK("https://twitter.com/Pipescott71","@Pipescott71")</f>
        <v>@Pipescott71</v>
      </c>
      <c r="C2093" s="8" t="s">
        <v>7199</v>
      </c>
      <c r="D2093" s="9" t="s">
        <v>7200</v>
      </c>
      <c r="E2093" s="10" t="str">
        <f>HYPERLINK("https://twitter.com/Pipescott71/status/1069347080248967169","1069347080248967169")</f>
        <v>1069347080248967169</v>
      </c>
      <c r="F2093" s="16" t="s">
        <v>7201</v>
      </c>
      <c r="G2093" s="12"/>
      <c r="H2093" s="12"/>
      <c r="I2093" s="13">
        <v>1</v>
      </c>
      <c r="J2093" s="13">
        <v>0</v>
      </c>
      <c r="K2093" s="14" t="str">
        <f>HYPERLINK("http://twitter.com/download/iphone","Twitter for iPhone")</f>
        <v>Twitter for iPhone</v>
      </c>
      <c r="L2093" s="13">
        <v>322</v>
      </c>
      <c r="M2093" s="13">
        <v>1081</v>
      </c>
      <c r="N2093" s="13">
        <v>4</v>
      </c>
      <c r="O2093" s="15"/>
      <c r="P2093" s="6">
        <v>40644.002465277779</v>
      </c>
      <c r="Q2093" s="16" t="s">
        <v>7202</v>
      </c>
      <c r="R2093" s="17" t="s">
        <v>7203</v>
      </c>
      <c r="S2093" s="12"/>
      <c r="T2093" s="12"/>
      <c r="U2093" s="10" t="str">
        <f>HYPERLINK("https://pbs.twimg.com/profile_images/1070462538004004865/ldBqRlub.jpg","View")</f>
        <v>View</v>
      </c>
    </row>
    <row r="2094" spans="1:21" ht="30.6">
      <c r="A2094" s="6">
        <v>43436.948703703703</v>
      </c>
      <c r="B2094" s="7" t="str">
        <f>HYPERLINK("https://twitter.com/Xuxipc","@Xuxipc")</f>
        <v>@Xuxipc</v>
      </c>
      <c r="C2094" s="8" t="s">
        <v>5699</v>
      </c>
      <c r="D2094" s="9" t="s">
        <v>7204</v>
      </c>
      <c r="E2094" s="10" t="str">
        <f>HYPERLINK("https://twitter.com/Xuxipc/status/1069347007544860676","1069347007544860676")</f>
        <v>1069347007544860676</v>
      </c>
      <c r="F2094" s="12"/>
      <c r="G2094" s="12"/>
      <c r="H2094" s="12"/>
      <c r="I2094" s="13">
        <v>93</v>
      </c>
      <c r="J2094" s="13">
        <v>194</v>
      </c>
      <c r="K2094" s="14" t="str">
        <f t="shared" ref="K2094:K2102" si="371">HYPERLINK("http://twitter.com/download/android","Twitter for Android")</f>
        <v>Twitter for Android</v>
      </c>
      <c r="L2094" s="13">
        <v>182354</v>
      </c>
      <c r="M2094" s="13">
        <v>289</v>
      </c>
      <c r="N2094" s="13">
        <v>1252</v>
      </c>
      <c r="O2094" s="15"/>
      <c r="P2094" s="6">
        <v>41297.668078703704</v>
      </c>
      <c r="Q2094" s="16" t="s">
        <v>3604</v>
      </c>
      <c r="R2094" s="17" t="s">
        <v>5703</v>
      </c>
      <c r="S2094" s="11" t="s">
        <v>5704</v>
      </c>
      <c r="T2094" s="12"/>
      <c r="U2094" s="10" t="str">
        <f>HYPERLINK("https://pbs.twimg.com/profile_images/1066104710476849152/Eh1J3dVa.jpg","View")</f>
        <v>View</v>
      </c>
    </row>
    <row r="2095" spans="1:21" ht="20.399999999999999">
      <c r="A2095" s="6">
        <v>43436.948657407411</v>
      </c>
      <c r="B2095" s="7" t="str">
        <f>HYPERLINK("https://twitter.com/elenusgg","@elenusgg")</f>
        <v>@elenusgg</v>
      </c>
      <c r="C2095" s="8" t="s">
        <v>7205</v>
      </c>
      <c r="D2095" s="9" t="s">
        <v>7206</v>
      </c>
      <c r="E2095" s="10" t="str">
        <f>HYPERLINK("https://twitter.com/elenusgg/status/1069346990964772864","1069346990964772864")</f>
        <v>1069346990964772864</v>
      </c>
      <c r="F2095" s="12"/>
      <c r="G2095" s="12"/>
      <c r="H2095" s="12"/>
      <c r="I2095" s="13">
        <v>0</v>
      </c>
      <c r="J2095" s="13">
        <v>0</v>
      </c>
      <c r="K2095" s="14" t="str">
        <f t="shared" si="371"/>
        <v>Twitter for Android</v>
      </c>
      <c r="L2095" s="13">
        <v>169</v>
      </c>
      <c r="M2095" s="13">
        <v>259</v>
      </c>
      <c r="N2095" s="13">
        <v>2</v>
      </c>
      <c r="O2095" s="15"/>
      <c r="P2095" s="6">
        <v>40810.633252314816</v>
      </c>
      <c r="Q2095" s="16" t="s">
        <v>109</v>
      </c>
      <c r="R2095" s="17" t="s">
        <v>7207</v>
      </c>
      <c r="S2095" s="12"/>
      <c r="T2095" s="12"/>
      <c r="U2095" s="10" t="str">
        <f>HYPERLINK("https://pbs.twimg.com/profile_images/787762282751295488/mpykVxyH.jpg","View")</f>
        <v>View</v>
      </c>
    </row>
    <row r="2096" spans="1:21" ht="40.799999999999997">
      <c r="A2096" s="6">
        <v>43436.948391203703</v>
      </c>
      <c r="B2096" s="7" t="str">
        <f>HYPERLINK("https://twitter.com/chismi77","@chismi77")</f>
        <v>@chismi77</v>
      </c>
      <c r="C2096" s="8" t="s">
        <v>7208</v>
      </c>
      <c r="D2096" s="9" t="s">
        <v>7209</v>
      </c>
      <c r="E2096" s="10" t="str">
        <f>HYPERLINK("https://twitter.com/chismi77/status/1069346891442372611","1069346891442372611")</f>
        <v>1069346891442372611</v>
      </c>
      <c r="F2096" s="12"/>
      <c r="G2096" s="12"/>
      <c r="H2096" s="12"/>
      <c r="I2096" s="13">
        <v>1</v>
      </c>
      <c r="J2096" s="13">
        <v>1</v>
      </c>
      <c r="K2096" s="14" t="str">
        <f t="shared" si="371"/>
        <v>Twitter for Android</v>
      </c>
      <c r="L2096" s="13">
        <v>184</v>
      </c>
      <c r="M2096" s="13">
        <v>290</v>
      </c>
      <c r="N2096" s="13">
        <v>2</v>
      </c>
      <c r="O2096" s="15"/>
      <c r="P2096" s="6">
        <v>42026.180636574078</v>
      </c>
      <c r="Q2096" s="16" t="s">
        <v>7210</v>
      </c>
      <c r="R2096" s="17" t="s">
        <v>7211</v>
      </c>
      <c r="S2096" s="12"/>
      <c r="T2096" s="12"/>
      <c r="U2096" s="10" t="str">
        <f>HYPERLINK("https://pbs.twimg.com/profile_images/1020851631913566211/CmI8kSzJ.jpg","View")</f>
        <v>View</v>
      </c>
    </row>
    <row r="2097" spans="1:21" ht="71.400000000000006">
      <c r="A2097" s="6">
        <v>43436.948067129633</v>
      </c>
      <c r="B2097" s="7" t="str">
        <f>HYPERLINK("https://twitter.com/jvep","@jvep")</f>
        <v>@jvep</v>
      </c>
      <c r="C2097" s="8" t="s">
        <v>7212</v>
      </c>
      <c r="D2097" s="9" t="s">
        <v>7213</v>
      </c>
      <c r="E2097" s="10" t="str">
        <f>HYPERLINK("https://twitter.com/jvep/status/1069346777655054338","1069346777655054338")</f>
        <v>1069346777655054338</v>
      </c>
      <c r="F2097" s="16" t="s">
        <v>5579</v>
      </c>
      <c r="G2097" s="12"/>
      <c r="H2097" s="12"/>
      <c r="I2097" s="13">
        <v>0</v>
      </c>
      <c r="J2097" s="13">
        <v>1</v>
      </c>
      <c r="K2097" s="14" t="str">
        <f t="shared" si="371"/>
        <v>Twitter for Android</v>
      </c>
      <c r="L2097" s="13">
        <v>404</v>
      </c>
      <c r="M2097" s="13">
        <v>508</v>
      </c>
      <c r="N2097" s="13">
        <v>15</v>
      </c>
      <c r="O2097" s="15"/>
      <c r="P2097" s="6">
        <v>39982.997314814813</v>
      </c>
      <c r="Q2097" s="12"/>
      <c r="R2097" s="17" t="s">
        <v>7214</v>
      </c>
      <c r="S2097" s="12"/>
      <c r="T2097" s="12"/>
      <c r="U2097" s="10" t="str">
        <f>HYPERLINK("https://pbs.twimg.com/profile_images/1071043733175631873/SIXT_O1D.jpg","View")</f>
        <v>View</v>
      </c>
    </row>
    <row r="2098" spans="1:21" ht="30.6">
      <c r="A2098" s="6">
        <v>43436.947847222225</v>
      </c>
      <c r="B2098" s="7" t="str">
        <f>HYPERLINK("https://twitter.com/Ivanjode","@Ivanjode")</f>
        <v>@Ivanjode</v>
      </c>
      <c r="C2098" s="8" t="s">
        <v>7215</v>
      </c>
      <c r="D2098" s="9" t="s">
        <v>7216</v>
      </c>
      <c r="E2098" s="10" t="str">
        <f>HYPERLINK("https://twitter.com/Ivanjode/status/1069346696176504833","1069346696176504833")</f>
        <v>1069346696176504833</v>
      </c>
      <c r="F2098" s="12"/>
      <c r="G2098" s="12"/>
      <c r="H2098" s="12"/>
      <c r="I2098" s="13">
        <v>5</v>
      </c>
      <c r="J2098" s="13">
        <v>14</v>
      </c>
      <c r="K2098" s="14" t="str">
        <f t="shared" si="371"/>
        <v>Twitter for Android</v>
      </c>
      <c r="L2098" s="13">
        <v>2194</v>
      </c>
      <c r="M2098" s="13">
        <v>645</v>
      </c>
      <c r="N2098" s="13">
        <v>13</v>
      </c>
      <c r="O2098" s="15"/>
      <c r="P2098" s="6">
        <v>42657.40121527778</v>
      </c>
      <c r="Q2098" s="16" t="s">
        <v>7217</v>
      </c>
      <c r="R2098" s="17" t="s">
        <v>7218</v>
      </c>
      <c r="S2098" s="12"/>
      <c r="T2098" s="12"/>
      <c r="U2098" s="10" t="str">
        <f>HYPERLINK("https://pbs.twimg.com/profile_images/874878869924454400/Datok-5S.jpg","View")</f>
        <v>View</v>
      </c>
    </row>
    <row r="2099" spans="1:21" ht="13.2">
      <c r="A2099" s="6">
        <v>43436.947847222225</v>
      </c>
      <c r="B2099" s="7" t="str">
        <f>HYPERLINK("https://twitter.com/carollm333","@carollm333")</f>
        <v>@carollm333</v>
      </c>
      <c r="C2099" s="8" t="s">
        <v>7219</v>
      </c>
      <c r="D2099" s="9" t="s">
        <v>7220</v>
      </c>
      <c r="E2099" s="10" t="str">
        <f>HYPERLINK("https://twitter.com/carollm333/status/1069346694716899331","1069346694716899331")</f>
        <v>1069346694716899331</v>
      </c>
      <c r="F2099" s="11" t="s">
        <v>7221</v>
      </c>
      <c r="G2099" s="12"/>
      <c r="H2099" s="12"/>
      <c r="I2099" s="13">
        <v>0</v>
      </c>
      <c r="J2099" s="13">
        <v>0</v>
      </c>
      <c r="K2099" s="14" t="str">
        <f t="shared" si="371"/>
        <v>Twitter for Android</v>
      </c>
      <c r="L2099" s="13">
        <v>1219</v>
      </c>
      <c r="M2099" s="13">
        <v>1042</v>
      </c>
      <c r="N2099" s="13">
        <v>78</v>
      </c>
      <c r="O2099" s="15"/>
      <c r="P2099" s="6">
        <v>40577.811874999999</v>
      </c>
      <c r="Q2099" s="12"/>
      <c r="R2099" s="20"/>
      <c r="S2099" s="12"/>
      <c r="T2099" s="12"/>
      <c r="U2099" s="10" t="str">
        <f>HYPERLINK("https://pbs.twimg.com/profile_images/1002860850015817729/9pVXZX1m.jpg","View")</f>
        <v>View</v>
      </c>
    </row>
    <row r="2100" spans="1:21" ht="30.6">
      <c r="A2100" s="6">
        <v>43436.947789351849</v>
      </c>
      <c r="B2100" s="7" t="str">
        <f>HYPERLINK("https://twitter.com/lastSaturday_","@lastSaturday_")</f>
        <v>@lastSaturday_</v>
      </c>
      <c r="C2100" s="8" t="s">
        <v>7222</v>
      </c>
      <c r="D2100" s="9" t="s">
        <v>7223</v>
      </c>
      <c r="E2100" s="10" t="str">
        <f>HYPERLINK("https://twitter.com/lastSaturday_/status/1069346676152967168","1069346676152967168")</f>
        <v>1069346676152967168</v>
      </c>
      <c r="F2100" s="12"/>
      <c r="G2100" s="12"/>
      <c r="H2100" s="12"/>
      <c r="I2100" s="13">
        <v>0</v>
      </c>
      <c r="J2100" s="13">
        <v>0</v>
      </c>
      <c r="K2100" s="14" t="str">
        <f t="shared" si="371"/>
        <v>Twitter for Android</v>
      </c>
      <c r="L2100" s="13">
        <v>303</v>
      </c>
      <c r="M2100" s="13">
        <v>188</v>
      </c>
      <c r="N2100" s="13">
        <v>3</v>
      </c>
      <c r="O2100" s="15"/>
      <c r="P2100" s="6">
        <v>41189.902268518519</v>
      </c>
      <c r="Q2100" s="16" t="s">
        <v>7224</v>
      </c>
      <c r="R2100" s="17" t="s">
        <v>7225</v>
      </c>
      <c r="S2100" s="12"/>
      <c r="T2100" s="12"/>
      <c r="U2100" s="10" t="str">
        <f>HYPERLINK("https://pbs.twimg.com/profile_images/853709001611255813/QcH8ydH4.jpg","View")</f>
        <v>View</v>
      </c>
    </row>
    <row r="2101" spans="1:21" ht="51">
      <c r="A2101" s="6">
        <v>43436.947499999995</v>
      </c>
      <c r="B2101" s="7" t="str">
        <f>HYPERLINK("https://twitter.com/cubirito","@cubirito")</f>
        <v>@cubirito</v>
      </c>
      <c r="C2101" s="8" t="s">
        <v>7226</v>
      </c>
      <c r="D2101" s="9" t="s">
        <v>7227</v>
      </c>
      <c r="E2101" s="10" t="str">
        <f>HYPERLINK("https://twitter.com/cubirito/status/1069346571660214274","1069346571660214274")</f>
        <v>1069346571660214274</v>
      </c>
      <c r="F2101" s="12"/>
      <c r="G2101" s="12"/>
      <c r="H2101" s="12"/>
      <c r="I2101" s="13">
        <v>1</v>
      </c>
      <c r="J2101" s="13">
        <v>0</v>
      </c>
      <c r="K2101" s="14" t="str">
        <f t="shared" si="371"/>
        <v>Twitter for Android</v>
      </c>
      <c r="L2101" s="13">
        <v>2488</v>
      </c>
      <c r="M2101" s="13">
        <v>427</v>
      </c>
      <c r="N2101" s="13">
        <v>11</v>
      </c>
      <c r="O2101" s="15"/>
      <c r="P2101" s="6">
        <v>40306.580995370372</v>
      </c>
      <c r="Q2101" s="16" t="s">
        <v>7228</v>
      </c>
      <c r="R2101" s="17" t="s">
        <v>7229</v>
      </c>
      <c r="S2101" s="12"/>
      <c r="T2101" s="12"/>
      <c r="U2101" s="10" t="str">
        <f>HYPERLINK("https://pbs.twimg.com/profile_images/970337004553633794/RYPb-sO1.jpg","View")</f>
        <v>View</v>
      </c>
    </row>
    <row r="2102" spans="1:21" ht="20.399999999999999">
      <c r="A2102" s="6">
        <v>43436.947442129633</v>
      </c>
      <c r="B2102" s="7" t="str">
        <f>HYPERLINK("https://twitter.com/loverhaterrr","@loverhaterrr")</f>
        <v>@loverhaterrr</v>
      </c>
      <c r="C2102" s="8" t="s">
        <v>7230</v>
      </c>
      <c r="D2102" s="9" t="s">
        <v>7231</v>
      </c>
      <c r="E2102" s="10" t="str">
        <f>HYPERLINK("https://twitter.com/loverhaterrr/status/1069346551041073152","1069346551041073152")</f>
        <v>1069346551041073152</v>
      </c>
      <c r="F2102" s="12"/>
      <c r="G2102" s="12"/>
      <c r="H2102" s="12"/>
      <c r="I2102" s="13">
        <v>0</v>
      </c>
      <c r="J2102" s="13">
        <v>0</v>
      </c>
      <c r="K2102" s="14" t="str">
        <f t="shared" si="371"/>
        <v>Twitter for Android</v>
      </c>
      <c r="L2102" s="13">
        <v>101</v>
      </c>
      <c r="M2102" s="13">
        <v>396</v>
      </c>
      <c r="N2102" s="13">
        <v>3</v>
      </c>
      <c r="O2102" s="15"/>
      <c r="P2102" s="6">
        <v>42270.498067129629</v>
      </c>
      <c r="Q2102" s="12"/>
      <c r="R2102" s="17" t="s">
        <v>7232</v>
      </c>
      <c r="S2102" s="12"/>
      <c r="T2102" s="12"/>
      <c r="U2102" s="10" t="str">
        <f>HYPERLINK("https://pbs.twimg.com/profile_images/646625884116533248/l4kiKDSd.jpg","View")</f>
        <v>View</v>
      </c>
    </row>
    <row r="2103" spans="1:21" ht="40.799999999999997">
      <c r="A2103" s="6">
        <v>43436.947152777779</v>
      </c>
      <c r="B2103" s="7" t="str">
        <f>HYPERLINK("https://twitter.com/ElMundoEspana","@ElMundoEspana")</f>
        <v>@ElMundoEspana</v>
      </c>
      <c r="C2103" s="8" t="s">
        <v>360</v>
      </c>
      <c r="D2103" s="9" t="s">
        <v>7233</v>
      </c>
      <c r="E2103" s="10" t="str">
        <f>HYPERLINK("https://twitter.com/ElMundoEspana/status/1069346444778356737","1069346444778356737")</f>
        <v>1069346444778356737</v>
      </c>
      <c r="F2103" s="11" t="s">
        <v>5081</v>
      </c>
      <c r="G2103" s="12"/>
      <c r="H2103" s="12"/>
      <c r="I2103" s="13">
        <v>0</v>
      </c>
      <c r="J2103" s="13">
        <v>2</v>
      </c>
      <c r="K2103" s="14" t="str">
        <f>HYPERLINK("http://twitter.com","Twitter Web Client")</f>
        <v>Twitter Web Client</v>
      </c>
      <c r="L2103" s="13">
        <v>18045</v>
      </c>
      <c r="M2103" s="13">
        <v>652</v>
      </c>
      <c r="N2103" s="13">
        <v>353</v>
      </c>
      <c r="O2103" s="19" t="s">
        <v>44</v>
      </c>
      <c r="P2103" s="6">
        <v>42089.415439814809</v>
      </c>
      <c r="Q2103" s="12"/>
      <c r="R2103" s="17" t="s">
        <v>362</v>
      </c>
      <c r="S2103" s="11" t="s">
        <v>363</v>
      </c>
      <c r="T2103" s="12"/>
      <c r="U2103" s="10" t="str">
        <f>HYPERLINK("https://pbs.twimg.com/profile_images/780431237555032064/H6v83dkC.jpg","View")</f>
        <v>View</v>
      </c>
    </row>
    <row r="2104" spans="1:21" ht="40.799999999999997">
      <c r="A2104" s="6">
        <v>43436.947094907402</v>
      </c>
      <c r="B2104" s="7" t="str">
        <f>HYPERLINK("https://twitter.com/Xuxipc","@Xuxipc")</f>
        <v>@Xuxipc</v>
      </c>
      <c r="C2104" s="8" t="s">
        <v>5699</v>
      </c>
      <c r="D2104" s="9" t="s">
        <v>7234</v>
      </c>
      <c r="E2104" s="10" t="str">
        <f>HYPERLINK("https://twitter.com/Xuxipc/status/1069346425287389184","1069346425287389184")</f>
        <v>1069346425287389184</v>
      </c>
      <c r="F2104" s="11" t="s">
        <v>7235</v>
      </c>
      <c r="G2104" s="12"/>
      <c r="H2104" s="12"/>
      <c r="I2104" s="13">
        <v>37</v>
      </c>
      <c r="J2104" s="13">
        <v>67</v>
      </c>
      <c r="K2104" s="14" t="str">
        <f t="shared" ref="K2104:K2107" si="372">HYPERLINK("http://twitter.com/download/android","Twitter for Android")</f>
        <v>Twitter for Android</v>
      </c>
      <c r="L2104" s="13">
        <v>182354</v>
      </c>
      <c r="M2104" s="13">
        <v>289</v>
      </c>
      <c r="N2104" s="13">
        <v>1252</v>
      </c>
      <c r="O2104" s="15"/>
      <c r="P2104" s="6">
        <v>41297.668078703704</v>
      </c>
      <c r="Q2104" s="16" t="s">
        <v>3604</v>
      </c>
      <c r="R2104" s="17" t="s">
        <v>5703</v>
      </c>
      <c r="S2104" s="11" t="s">
        <v>5704</v>
      </c>
      <c r="T2104" s="12"/>
      <c r="U2104" s="10" t="str">
        <f>HYPERLINK("https://pbs.twimg.com/profile_images/1066104710476849152/Eh1J3dVa.jpg","View")</f>
        <v>View</v>
      </c>
    </row>
    <row r="2105" spans="1:21" ht="30.6">
      <c r="A2105" s="6">
        <v>43436.946539351848</v>
      </c>
      <c r="B2105" s="7" t="str">
        <f>HYPERLINK("https://twitter.com/billpuerta79","@billpuerta79")</f>
        <v>@billpuerta79</v>
      </c>
      <c r="C2105" s="8" t="s">
        <v>7236</v>
      </c>
      <c r="D2105" s="9" t="s">
        <v>7237</v>
      </c>
      <c r="E2105" s="10" t="str">
        <f>HYPERLINK("https://twitter.com/billpuerta79/status/1069346223050711041","1069346223050711041")</f>
        <v>1069346223050711041</v>
      </c>
      <c r="F2105" s="12"/>
      <c r="G2105" s="12"/>
      <c r="H2105" s="12"/>
      <c r="I2105" s="13">
        <v>2</v>
      </c>
      <c r="J2105" s="13">
        <v>4</v>
      </c>
      <c r="K2105" s="14" t="str">
        <f t="shared" si="372"/>
        <v>Twitter for Android</v>
      </c>
      <c r="L2105" s="13">
        <v>825</v>
      </c>
      <c r="M2105" s="13">
        <v>267</v>
      </c>
      <c r="N2105" s="13">
        <v>14</v>
      </c>
      <c r="O2105" s="15"/>
      <c r="P2105" s="6">
        <v>40590.985671296294</v>
      </c>
      <c r="Q2105" s="16" t="s">
        <v>7238</v>
      </c>
      <c r="R2105" s="17" t="s">
        <v>7239</v>
      </c>
      <c r="S2105" s="11" t="s">
        <v>7240</v>
      </c>
      <c r="T2105" s="12"/>
      <c r="U2105" s="10" t="str">
        <f>HYPERLINK("https://pbs.twimg.com/profile_images/1057997392891523072/YigG9KvI.jpg","View")</f>
        <v>View</v>
      </c>
    </row>
    <row r="2106" spans="1:21" ht="30.6">
      <c r="A2106" s="6">
        <v>43436.946377314816</v>
      </c>
      <c r="B2106" s="7" t="str">
        <f>HYPERLINK("https://twitter.com/JqManso","@JqManso")</f>
        <v>@JqManso</v>
      </c>
      <c r="C2106" s="8" t="s">
        <v>7241</v>
      </c>
      <c r="D2106" s="9" t="s">
        <v>7242</v>
      </c>
      <c r="E2106" s="10" t="str">
        <f>HYPERLINK("https://twitter.com/JqManso/status/1069346162950443013","1069346162950443013")</f>
        <v>1069346162950443013</v>
      </c>
      <c r="F2106" s="12"/>
      <c r="G2106" s="12"/>
      <c r="H2106" s="12"/>
      <c r="I2106" s="13">
        <v>3</v>
      </c>
      <c r="J2106" s="13">
        <v>10</v>
      </c>
      <c r="K2106" s="14" t="str">
        <f t="shared" si="372"/>
        <v>Twitter for Android</v>
      </c>
      <c r="L2106" s="13">
        <v>3622</v>
      </c>
      <c r="M2106" s="13">
        <v>1119</v>
      </c>
      <c r="N2106" s="13">
        <v>99</v>
      </c>
      <c r="O2106" s="15"/>
      <c r="P2106" s="6">
        <v>41795.074456018519</v>
      </c>
      <c r="Q2106" s="16" t="s">
        <v>191</v>
      </c>
      <c r="R2106" s="17" t="s">
        <v>7243</v>
      </c>
      <c r="S2106" s="12"/>
      <c r="T2106" s="12"/>
      <c r="U2106" s="10" t="str">
        <f>HYPERLINK("https://pbs.twimg.com/profile_images/474622178608955393/Ci6sIgbZ.jpeg","View")</f>
        <v>View</v>
      </c>
    </row>
    <row r="2107" spans="1:21" ht="20.399999999999999">
      <c r="A2107" s="6">
        <v>43436.946122685185</v>
      </c>
      <c r="B2107" s="7" t="str">
        <f>HYPERLINK("https://twitter.com/teresabs15","@teresabs15")</f>
        <v>@teresabs15</v>
      </c>
      <c r="C2107" s="8" t="s">
        <v>7244</v>
      </c>
      <c r="D2107" s="9" t="s">
        <v>7245</v>
      </c>
      <c r="E2107" s="10" t="str">
        <f>HYPERLINK("https://twitter.com/teresabs15/status/1069346072324202497","1069346072324202497")</f>
        <v>1069346072324202497</v>
      </c>
      <c r="F2107" s="12"/>
      <c r="G2107" s="12"/>
      <c r="H2107" s="12"/>
      <c r="I2107" s="13">
        <v>0</v>
      </c>
      <c r="J2107" s="13">
        <v>0</v>
      </c>
      <c r="K2107" s="14" t="str">
        <f t="shared" si="372"/>
        <v>Twitter for Android</v>
      </c>
      <c r="L2107" s="13">
        <v>201</v>
      </c>
      <c r="M2107" s="13">
        <v>535</v>
      </c>
      <c r="N2107" s="13">
        <v>2</v>
      </c>
      <c r="O2107" s="15"/>
      <c r="P2107" s="6">
        <v>42744.596064814818</v>
      </c>
      <c r="Q2107" s="16" t="s">
        <v>7246</v>
      </c>
      <c r="R2107" s="17" t="s">
        <v>7247</v>
      </c>
      <c r="S2107" s="12"/>
      <c r="T2107" s="12"/>
      <c r="U2107" s="10" t="str">
        <f>HYPERLINK("https://pbs.twimg.com/profile_images/944994501810147328/HVTgE0Yn.jpg","View")</f>
        <v>View</v>
      </c>
    </row>
    <row r="2108" spans="1:21" ht="61.2">
      <c r="A2108" s="6">
        <v>43436.945393518516</v>
      </c>
      <c r="B2108" s="7" t="str">
        <f>HYPERLINK("https://twitter.com/euskaljakintza","@euskaljakintza")</f>
        <v>@euskaljakintza</v>
      </c>
      <c r="C2108" s="8" t="s">
        <v>7248</v>
      </c>
      <c r="D2108" s="9" t="s">
        <v>7249</v>
      </c>
      <c r="E2108" s="10" t="str">
        <f>HYPERLINK("https://twitter.com/euskaljakintza/status/1069345805428031491","1069345805428031491")</f>
        <v>1069345805428031491</v>
      </c>
      <c r="F2108" s="11" t="s">
        <v>3133</v>
      </c>
      <c r="G2108" s="11" t="s">
        <v>3134</v>
      </c>
      <c r="H2108" s="12"/>
      <c r="I2108" s="13">
        <v>1</v>
      </c>
      <c r="J2108" s="13">
        <v>1</v>
      </c>
      <c r="K2108" s="14" t="str">
        <f>HYPERLINK("http://twitter.com","Twitter Web Client")</f>
        <v>Twitter Web Client</v>
      </c>
      <c r="L2108" s="13">
        <v>8160</v>
      </c>
      <c r="M2108" s="13">
        <v>2160</v>
      </c>
      <c r="N2108" s="13">
        <v>487</v>
      </c>
      <c r="O2108" s="15"/>
      <c r="P2108" s="6">
        <v>39170.634282407409</v>
      </c>
      <c r="Q2108" s="16" t="s">
        <v>7250</v>
      </c>
      <c r="R2108" s="17" t="s">
        <v>7251</v>
      </c>
      <c r="S2108" s="11" t="s">
        <v>7252</v>
      </c>
      <c r="T2108" s="12"/>
      <c r="U2108" s="10" t="str">
        <f>HYPERLINK("https://pbs.twimg.com/profile_images/1070623348072288258/cTE8u2P5.jpg","View")</f>
        <v>View</v>
      </c>
    </row>
    <row r="2109" spans="1:21" ht="40.799999999999997">
      <c r="A2109" s="6">
        <v>43436.944004629629</v>
      </c>
      <c r="B2109" s="7" t="str">
        <f>HYPERLINK("https://twitter.com/pcarrilhoreyes","@pcarrilhoreyes")</f>
        <v>@pcarrilhoreyes</v>
      </c>
      <c r="C2109" s="8" t="s">
        <v>7253</v>
      </c>
      <c r="D2109" s="9" t="s">
        <v>7254</v>
      </c>
      <c r="E2109" s="10" t="str">
        <f>HYPERLINK("https://twitter.com/pcarrilhoreyes/status/1069345302937829377","1069345302937829377")</f>
        <v>1069345302937829377</v>
      </c>
      <c r="F2109" s="12"/>
      <c r="G2109" s="12"/>
      <c r="H2109" s="12"/>
      <c r="I2109" s="13">
        <v>1</v>
      </c>
      <c r="J2109" s="13">
        <v>1</v>
      </c>
      <c r="K2109" s="14" t="str">
        <f t="shared" ref="K2109:K2110" si="373">HYPERLINK("http://www.facebook.com/twitter","Facebook")</f>
        <v>Facebook</v>
      </c>
      <c r="L2109" s="13">
        <v>125</v>
      </c>
      <c r="M2109" s="13">
        <v>35</v>
      </c>
      <c r="N2109" s="13">
        <v>2</v>
      </c>
      <c r="O2109" s="15"/>
      <c r="P2109" s="6">
        <v>40998.452708333338</v>
      </c>
      <c r="Q2109" s="12"/>
      <c r="R2109" s="20"/>
      <c r="S2109" s="12"/>
      <c r="T2109" s="12"/>
      <c r="U2109" s="10" t="str">
        <f>HYPERLINK("https://pbs.twimg.com/profile_images/2409709690/image.jpg","View")</f>
        <v>View</v>
      </c>
    </row>
    <row r="2110" spans="1:21" ht="20.399999999999999">
      <c r="A2110" s="6">
        <v>43436.943611111114</v>
      </c>
      <c r="B2110" s="7" t="str">
        <f>HYPERLINK("https://twitter.com/memecasel","@memecasel")</f>
        <v>@memecasel</v>
      </c>
      <c r="C2110" s="8" t="s">
        <v>7255</v>
      </c>
      <c r="D2110" s="9" t="s">
        <v>3949</v>
      </c>
      <c r="E2110" s="10" t="str">
        <f>HYPERLINK("https://twitter.com/memecasel/status/1069345161233223680","1069345161233223680")</f>
        <v>1069345161233223680</v>
      </c>
      <c r="F2110" s="11" t="s">
        <v>3950</v>
      </c>
      <c r="G2110" s="12"/>
      <c r="H2110" s="12"/>
      <c r="I2110" s="13">
        <v>0</v>
      </c>
      <c r="J2110" s="13">
        <v>0</v>
      </c>
      <c r="K2110" s="14" t="str">
        <f t="shared" si="373"/>
        <v>Facebook</v>
      </c>
      <c r="L2110" s="13">
        <v>243</v>
      </c>
      <c r="M2110" s="13">
        <v>2158</v>
      </c>
      <c r="N2110" s="13">
        <v>5</v>
      </c>
      <c r="O2110" s="15"/>
      <c r="P2110" s="6">
        <v>41194.889467592591</v>
      </c>
      <c r="Q2110" s="12"/>
      <c r="R2110" s="20"/>
      <c r="S2110" s="12"/>
      <c r="T2110" s="12"/>
      <c r="U2110" s="10" t="str">
        <f>HYPERLINK("https://pbs.twimg.com/profile_images/974063725714997251/3qeUVLsm.jpg","View")</f>
        <v>View</v>
      </c>
    </row>
    <row r="2111" spans="1:21" ht="20.399999999999999">
      <c r="A2111" s="6">
        <v>43436.943136574075</v>
      </c>
      <c r="B2111" s="7" t="str">
        <f>HYPERLINK("https://twitter.com/mjguemes","@mjguemes")</f>
        <v>@mjguemes</v>
      </c>
      <c r="C2111" s="8" t="s">
        <v>5308</v>
      </c>
      <c r="D2111" s="9" t="s">
        <v>7256</v>
      </c>
      <c r="E2111" s="10" t="str">
        <f>HYPERLINK("https://twitter.com/mjguemes/status/1069344990910996480","1069344990910996480")</f>
        <v>1069344990910996480</v>
      </c>
      <c r="F2111" s="12"/>
      <c r="G2111" s="12"/>
      <c r="H2111" s="12"/>
      <c r="I2111" s="13">
        <v>8</v>
      </c>
      <c r="J2111" s="13">
        <v>4</v>
      </c>
      <c r="K2111" s="14" t="str">
        <f>HYPERLINK("http://www.prisa.com","PRISA Participación")</f>
        <v>PRISA Participación</v>
      </c>
      <c r="L2111" s="13">
        <v>13442</v>
      </c>
      <c r="M2111" s="13">
        <v>1055</v>
      </c>
      <c r="N2111" s="13">
        <v>336</v>
      </c>
      <c r="O2111" s="15"/>
      <c r="P2111" s="6">
        <v>39955.47038194444</v>
      </c>
      <c r="Q2111" s="16" t="s">
        <v>191</v>
      </c>
      <c r="R2111" s="17" t="s">
        <v>5310</v>
      </c>
      <c r="S2111" s="11" t="s">
        <v>5311</v>
      </c>
      <c r="T2111" s="12"/>
      <c r="U2111" s="10" t="str">
        <f>HYPERLINK("https://pbs.twimg.com/profile_images/1002949704508985344/MOE-qpOJ.jpg","View")</f>
        <v>View</v>
      </c>
    </row>
    <row r="2112" spans="1:21" ht="13.2">
      <c r="A2112" s="6">
        <v>43436.942847222221</v>
      </c>
      <c r="B2112" s="7" t="str">
        <f>HYPERLINK("https://twitter.com/gofrecito","@gofrecito")</f>
        <v>@gofrecito</v>
      </c>
      <c r="C2112" s="8" t="s">
        <v>7257</v>
      </c>
      <c r="D2112" s="9" t="s">
        <v>7258</v>
      </c>
      <c r="E2112" s="10" t="str">
        <f>HYPERLINK("https://twitter.com/gofrecito/status/1069344882483961861","1069344882483961861")</f>
        <v>1069344882483961861</v>
      </c>
      <c r="F2112" s="12"/>
      <c r="G2112" s="12"/>
      <c r="H2112" s="12"/>
      <c r="I2112" s="13">
        <v>0</v>
      </c>
      <c r="J2112" s="13">
        <v>0</v>
      </c>
      <c r="K2112" s="14" t="str">
        <f>HYPERLINK("http://twitter.com/download/android","Twitter for Android")</f>
        <v>Twitter for Android</v>
      </c>
      <c r="L2112" s="13">
        <v>0</v>
      </c>
      <c r="M2112" s="13">
        <v>3</v>
      </c>
      <c r="N2112" s="13">
        <v>0</v>
      </c>
      <c r="O2112" s="15"/>
      <c r="P2112" s="6">
        <v>43431.604027777779</v>
      </c>
      <c r="Q2112" s="16" t="s">
        <v>7259</v>
      </c>
      <c r="R2112" s="17" t="s">
        <v>7260</v>
      </c>
      <c r="S2112" s="11" t="s">
        <v>7261</v>
      </c>
      <c r="T2112" s="12"/>
      <c r="U2112" s="10" t="str">
        <f>HYPERLINK("https://pbs.twimg.com/profile_images/1071042646095917059/yNr60EQe.jpg","View")</f>
        <v>View</v>
      </c>
    </row>
    <row r="2113" spans="1:21" ht="20.399999999999999">
      <c r="A2113" s="6">
        <v>43436.942708333328</v>
      </c>
      <c r="B2113" s="7" t="str">
        <f>HYPERLINK("https://twitter.com/coge_el","@coge_el")</f>
        <v>@coge_el</v>
      </c>
      <c r="C2113" s="8" t="s">
        <v>7155</v>
      </c>
      <c r="D2113" s="9" t="s">
        <v>7262</v>
      </c>
      <c r="E2113" s="10" t="str">
        <f>HYPERLINK("https://twitter.com/coge_el/status/1069344833691676672","1069344833691676672")</f>
        <v>1069344833691676672</v>
      </c>
      <c r="F2113" s="12"/>
      <c r="G2113" s="12"/>
      <c r="H2113" s="12"/>
      <c r="I2113" s="13">
        <v>1</v>
      </c>
      <c r="J2113" s="13">
        <v>0</v>
      </c>
      <c r="K2113" s="14" t="str">
        <f>HYPERLINK("http://twitter.com/download/iphone","Twitter for iPhone")</f>
        <v>Twitter for iPhone</v>
      </c>
      <c r="L2113" s="13">
        <v>1183</v>
      </c>
      <c r="M2113" s="13">
        <v>583</v>
      </c>
      <c r="N2113" s="13">
        <v>8</v>
      </c>
      <c r="O2113" s="15"/>
      <c r="P2113" s="6">
        <v>41597.877858796295</v>
      </c>
      <c r="Q2113" s="12"/>
      <c r="R2113" s="17" t="s">
        <v>7157</v>
      </c>
      <c r="S2113" s="12"/>
      <c r="T2113" s="12"/>
      <c r="U2113" s="10" t="str">
        <f>HYPERLINK("https://pbs.twimg.com/profile_images/429616045616553986/uJQNf8su.jpeg","View")</f>
        <v>View</v>
      </c>
    </row>
    <row r="2114" spans="1:21" ht="30.6">
      <c r="A2114" s="6">
        <v>43436.942650462966</v>
      </c>
      <c r="B2114" s="7" t="str">
        <f>HYPERLINK("https://twitter.com/VidalJuanma","@VidalJuanma")</f>
        <v>@VidalJuanma</v>
      </c>
      <c r="C2114" s="8" t="s">
        <v>5449</v>
      </c>
      <c r="D2114" s="9" t="s">
        <v>7263</v>
      </c>
      <c r="E2114" s="10" t="str">
        <f>HYPERLINK("https://twitter.com/VidalJuanma/status/1069344812988547078","1069344812988547078")</f>
        <v>1069344812988547078</v>
      </c>
      <c r="F2114" s="12"/>
      <c r="G2114" s="12"/>
      <c r="H2114" s="12"/>
      <c r="I2114" s="13">
        <v>6</v>
      </c>
      <c r="J2114" s="13">
        <v>15</v>
      </c>
      <c r="K2114" s="14" t="str">
        <f t="shared" ref="K2114:K2115" si="374">HYPERLINK("http://twitter.com/download/android","Twitter for Android")</f>
        <v>Twitter for Android</v>
      </c>
      <c r="L2114" s="13">
        <v>5132</v>
      </c>
      <c r="M2114" s="13">
        <v>4369</v>
      </c>
      <c r="N2114" s="13">
        <v>108</v>
      </c>
      <c r="O2114" s="15"/>
      <c r="P2114" s="6">
        <v>40585.843981481477</v>
      </c>
      <c r="Q2114" s="16" t="s">
        <v>5452</v>
      </c>
      <c r="R2114" s="17" t="s">
        <v>5453</v>
      </c>
      <c r="S2114" s="12"/>
      <c r="T2114" s="12"/>
      <c r="U2114" s="10" t="str">
        <f>HYPERLINK("https://pbs.twimg.com/profile_images/1063583830127403008/6aHeVYqS.jpg","View")</f>
        <v>View</v>
      </c>
    </row>
    <row r="2115" spans="1:21" ht="20.399999999999999">
      <c r="A2115" s="6">
        <v>43436.942615740743</v>
      </c>
      <c r="B2115" s="7" t="str">
        <f>HYPERLINK("https://twitter.com/Lucas198282","@Lucas198282")</f>
        <v>@Lucas198282</v>
      </c>
      <c r="C2115" s="8" t="s">
        <v>7264</v>
      </c>
      <c r="D2115" s="9" t="s">
        <v>7265</v>
      </c>
      <c r="E2115" s="10" t="str">
        <f>HYPERLINK("https://twitter.com/Lucas198282/status/1069344799810088962","1069344799810088962")</f>
        <v>1069344799810088962</v>
      </c>
      <c r="F2115" s="12"/>
      <c r="G2115" s="12"/>
      <c r="H2115" s="12"/>
      <c r="I2115" s="13">
        <v>0</v>
      </c>
      <c r="J2115" s="13">
        <v>0</v>
      </c>
      <c r="K2115" s="14" t="str">
        <f t="shared" si="374"/>
        <v>Twitter for Android</v>
      </c>
      <c r="L2115" s="13">
        <v>1164</v>
      </c>
      <c r="M2115" s="13">
        <v>3308</v>
      </c>
      <c r="N2115" s="13">
        <v>13</v>
      </c>
      <c r="O2115" s="15"/>
      <c r="P2115" s="6">
        <v>41859.984699074077</v>
      </c>
      <c r="Q2115" s="16" t="s">
        <v>4340</v>
      </c>
      <c r="R2115" s="17" t="s">
        <v>7266</v>
      </c>
      <c r="S2115" s="12"/>
      <c r="T2115" s="12"/>
      <c r="U2115" s="10" t="str">
        <f>HYPERLINK("https://pbs.twimg.com/profile_images/953058305798234112/n_ph8MPJ.jpg","View")</f>
        <v>View</v>
      </c>
    </row>
    <row r="2116" spans="1:21" ht="30.6">
      <c r="A2116" s="6">
        <v>43436.941655092596</v>
      </c>
      <c r="B2116" s="7" t="str">
        <f>HYPERLINK("https://twitter.com/nataliajunquera","@nataliajunquera")</f>
        <v>@nataliajunquera</v>
      </c>
      <c r="C2116" s="8" t="s">
        <v>7267</v>
      </c>
      <c r="D2116" s="9" t="s">
        <v>7268</v>
      </c>
      <c r="E2116" s="10" t="str">
        <f>HYPERLINK("https://twitter.com/nataliajunquera/status/1069344451032686592","1069344451032686592")</f>
        <v>1069344451032686592</v>
      </c>
      <c r="F2116" s="11" t="s">
        <v>7269</v>
      </c>
      <c r="G2116" s="12"/>
      <c r="H2116" s="12"/>
      <c r="I2116" s="13">
        <v>8</v>
      </c>
      <c r="J2116" s="13">
        <v>10</v>
      </c>
      <c r="K2116" s="14" t="str">
        <f t="shared" ref="K2116:K2117" si="375">HYPERLINK("http://twitter.com","Twitter Web Client")</f>
        <v>Twitter Web Client</v>
      </c>
      <c r="L2116" s="13">
        <v>10034</v>
      </c>
      <c r="M2116" s="13">
        <v>1054</v>
      </c>
      <c r="N2116" s="13">
        <v>355</v>
      </c>
      <c r="O2116" s="15"/>
      <c r="P2116" s="6">
        <v>40622.936701388891</v>
      </c>
      <c r="Q2116" s="16" t="s">
        <v>191</v>
      </c>
      <c r="R2116" s="17" t="s">
        <v>7270</v>
      </c>
      <c r="S2116" s="11" t="s">
        <v>7271</v>
      </c>
      <c r="T2116" s="12"/>
      <c r="U2116" s="10" t="str">
        <f>HYPERLINK("https://pbs.twimg.com/profile_images/832046013674377216/X41ajgNO.jpg","View")</f>
        <v>View</v>
      </c>
    </row>
    <row r="2117" spans="1:21" ht="40.799999999999997">
      <c r="A2117" s="6">
        <v>43436.94153935185</v>
      </c>
      <c r="B2117" s="7" t="str">
        <f>HYPERLINK("https://twitter.com/marodriguezb","@marodriguezb")</f>
        <v>@marodriguezb</v>
      </c>
      <c r="C2117" s="8" t="s">
        <v>7272</v>
      </c>
      <c r="D2117" s="9" t="s">
        <v>7273</v>
      </c>
      <c r="E2117" s="10" t="str">
        <f>HYPERLINK("https://twitter.com/marodriguezb/status/1069344408150204416","1069344408150204416")</f>
        <v>1069344408150204416</v>
      </c>
      <c r="F2117" s="12"/>
      <c r="G2117" s="12"/>
      <c r="H2117" s="12"/>
      <c r="I2117" s="13">
        <v>184</v>
      </c>
      <c r="J2117" s="13">
        <v>404</v>
      </c>
      <c r="K2117" s="14" t="str">
        <f t="shared" si="375"/>
        <v>Twitter Web Client</v>
      </c>
      <c r="L2117" s="13">
        <v>35572</v>
      </c>
      <c r="M2117" s="13">
        <v>1349</v>
      </c>
      <c r="N2117" s="13">
        <v>901</v>
      </c>
      <c r="O2117" s="15"/>
      <c r="P2117" s="6">
        <v>39958.732141203705</v>
      </c>
      <c r="Q2117" s="16" t="s">
        <v>232</v>
      </c>
      <c r="R2117" s="17" t="s">
        <v>7274</v>
      </c>
      <c r="S2117" s="12"/>
      <c r="T2117" s="12"/>
      <c r="U2117" s="10" t="str">
        <f>HYPERLINK("https://pbs.twimg.com/profile_images/978633255275638784/ByJ7J6OX.jpg","View")</f>
        <v>View</v>
      </c>
    </row>
    <row r="2118" spans="1:21" ht="61.2">
      <c r="A2118" s="6">
        <v>43436.940115740741</v>
      </c>
      <c r="B2118" s="7" t="str">
        <f>HYPERLINK("https://twitter.com/ea_o_O","@ea_o_O")</f>
        <v>@ea_o_O</v>
      </c>
      <c r="C2118" s="8" t="s">
        <v>7275</v>
      </c>
      <c r="D2118" s="9" t="s">
        <v>7276</v>
      </c>
      <c r="E2118" s="10" t="str">
        <f>HYPERLINK("https://twitter.com/ea_o_O/status/1069343894821851138","1069343894821851138")</f>
        <v>1069343894821851138</v>
      </c>
      <c r="F2118" s="16" t="s">
        <v>7277</v>
      </c>
      <c r="G2118" s="12"/>
      <c r="H2118" s="12"/>
      <c r="I2118" s="13">
        <v>1</v>
      </c>
      <c r="J2118" s="13">
        <v>2</v>
      </c>
      <c r="K2118" s="14" t="str">
        <f t="shared" ref="K2118:K2119" si="376">HYPERLINK("http://twitter.com/download/android","Twitter for Android")</f>
        <v>Twitter for Android</v>
      </c>
      <c r="L2118" s="13">
        <v>880</v>
      </c>
      <c r="M2118" s="13">
        <v>1236</v>
      </c>
      <c r="N2118" s="13">
        <v>51</v>
      </c>
      <c r="O2118" s="15"/>
      <c r="P2118" s="6">
        <v>39571.891412037039</v>
      </c>
      <c r="Q2118" s="16" t="s">
        <v>7278</v>
      </c>
      <c r="R2118" s="17" t="s">
        <v>7279</v>
      </c>
      <c r="S2118" s="12"/>
      <c r="T2118" s="12"/>
      <c r="U2118" s="10" t="str">
        <f>HYPERLINK("https://pbs.twimg.com/profile_images/976828773239869440/6DuGEcuO.jpg","View")</f>
        <v>View</v>
      </c>
    </row>
    <row r="2119" spans="1:21" ht="13.2">
      <c r="A2119" s="6">
        <v>43436.940081018518</v>
      </c>
      <c r="B2119" s="7" t="str">
        <f>HYPERLINK("https://twitter.com/Szyslak_D","@Szyslak_D")</f>
        <v>@Szyslak_D</v>
      </c>
      <c r="C2119" s="8" t="s">
        <v>7280</v>
      </c>
      <c r="D2119" s="9" t="s">
        <v>7281</v>
      </c>
      <c r="E2119" s="10" t="str">
        <f>HYPERLINK("https://twitter.com/Szyslak_D/status/1069343882956218368","1069343882956218368")</f>
        <v>1069343882956218368</v>
      </c>
      <c r="F2119" s="12"/>
      <c r="G2119" s="12"/>
      <c r="H2119" s="12"/>
      <c r="I2119" s="13">
        <v>0</v>
      </c>
      <c r="J2119" s="13">
        <v>0</v>
      </c>
      <c r="K2119" s="14" t="str">
        <f t="shared" si="376"/>
        <v>Twitter for Android</v>
      </c>
      <c r="L2119" s="13">
        <v>200</v>
      </c>
      <c r="M2119" s="13">
        <v>186</v>
      </c>
      <c r="N2119" s="13">
        <v>1</v>
      </c>
      <c r="O2119" s="15"/>
      <c r="P2119" s="6">
        <v>40920.654317129629</v>
      </c>
      <c r="Q2119" s="16" t="s">
        <v>7282</v>
      </c>
      <c r="R2119" s="20"/>
      <c r="S2119" s="12"/>
      <c r="T2119" s="12"/>
      <c r="U2119" s="10" t="str">
        <f>HYPERLINK("https://pbs.twimg.com/profile_images/1030803047780372480/ATSO6mcn.jpg","View")</f>
        <v>View</v>
      </c>
    </row>
    <row r="2120" spans="1:21" ht="20.399999999999999">
      <c r="A2120" s="6">
        <v>43436.940011574072</v>
      </c>
      <c r="B2120" s="7" t="str">
        <f>HYPERLINK("https://twitter.com/botderusia1","@botderusia1")</f>
        <v>@botderusia1</v>
      </c>
      <c r="C2120" s="8" t="s">
        <v>378</v>
      </c>
      <c r="D2120" s="9" t="s">
        <v>7283</v>
      </c>
      <c r="E2120" s="10" t="str">
        <f>HYPERLINK("https://twitter.com/botderusia1/status/1069343855340855301","1069343855340855301")</f>
        <v>1069343855340855301</v>
      </c>
      <c r="F2120" s="12"/>
      <c r="G2120" s="12"/>
      <c r="H2120" s="12"/>
      <c r="I2120" s="13">
        <v>1</v>
      </c>
      <c r="J2120" s="13">
        <v>2</v>
      </c>
      <c r="K2120" s="14" t="str">
        <f t="shared" ref="K2120:K2121" si="377">HYPERLINK("http://twitter.com/download/iphone","Twitter for iPhone")</f>
        <v>Twitter for iPhone</v>
      </c>
      <c r="L2120" s="13">
        <v>733</v>
      </c>
      <c r="M2120" s="13">
        <v>3060</v>
      </c>
      <c r="N2120" s="13">
        <v>2</v>
      </c>
      <c r="O2120" s="15"/>
      <c r="P2120" s="6">
        <v>43126.473668981482</v>
      </c>
      <c r="Q2120" s="12"/>
      <c r="R2120" s="17" t="s">
        <v>382</v>
      </c>
      <c r="S2120" s="12"/>
      <c r="T2120" s="12"/>
      <c r="U2120" s="10" t="str">
        <f>HYPERLINK("https://pbs.twimg.com/profile_images/1054339073572257792/ilkDFUOd.jpg","View")</f>
        <v>View</v>
      </c>
    </row>
    <row r="2121" spans="1:21" ht="61.2">
      <c r="A2121" s="6">
        <v>43436.938784722224</v>
      </c>
      <c r="B2121" s="7" t="str">
        <f>HYPERLINK("https://twitter.com/yolevenezuela","@yolevenezuela")</f>
        <v>@yolevenezuela</v>
      </c>
      <c r="C2121" s="8" t="s">
        <v>7284</v>
      </c>
      <c r="D2121" s="9" t="s">
        <v>7285</v>
      </c>
      <c r="E2121" s="10" t="str">
        <f>HYPERLINK("https://twitter.com/yolevenezuela/status/1069343412946636801","1069343412946636801")</f>
        <v>1069343412946636801</v>
      </c>
      <c r="F2121" s="12"/>
      <c r="G2121" s="12"/>
      <c r="H2121" s="12"/>
      <c r="I2121" s="13">
        <v>7</v>
      </c>
      <c r="J2121" s="13">
        <v>9</v>
      </c>
      <c r="K2121" s="14" t="str">
        <f t="shared" si="377"/>
        <v>Twitter for iPhone</v>
      </c>
      <c r="L2121" s="13">
        <v>3661</v>
      </c>
      <c r="M2121" s="13">
        <v>1916</v>
      </c>
      <c r="N2121" s="13">
        <v>12</v>
      </c>
      <c r="O2121" s="15"/>
      <c r="P2121" s="6">
        <v>40292.243032407408</v>
      </c>
      <c r="Q2121" s="12"/>
      <c r="R2121" s="17" t="s">
        <v>7286</v>
      </c>
      <c r="S2121" s="12"/>
      <c r="T2121" s="12"/>
      <c r="U2121" s="10" t="str">
        <f>HYPERLINK("https://pbs.twimg.com/profile_images/440995373700493312/SrYAaFC9.jpeg","View")</f>
        <v>View</v>
      </c>
    </row>
    <row r="2122" spans="1:21" ht="20.399999999999999">
      <c r="A2122" s="6">
        <v>43436.938171296293</v>
      </c>
      <c r="B2122" s="7" t="str">
        <f>HYPERLINK("https://twitter.com/happyvi0lentine","@happyvi0lentine")</f>
        <v>@happyvi0lentine</v>
      </c>
      <c r="C2122" s="8" t="s">
        <v>7287</v>
      </c>
      <c r="D2122" s="9" t="s">
        <v>7288</v>
      </c>
      <c r="E2122" s="10" t="str">
        <f>HYPERLINK("https://twitter.com/happyvi0lentine/status/1069343187926466561","1069343187926466561")</f>
        <v>1069343187926466561</v>
      </c>
      <c r="F2122" s="12"/>
      <c r="G2122" s="12"/>
      <c r="H2122" s="12"/>
      <c r="I2122" s="13">
        <v>6</v>
      </c>
      <c r="J2122" s="13">
        <v>8</v>
      </c>
      <c r="K2122" s="14" t="str">
        <f t="shared" ref="K2122:K2125" si="378">HYPERLINK("http://twitter.com/download/android","Twitter for Android")</f>
        <v>Twitter for Android</v>
      </c>
      <c r="L2122" s="13">
        <v>851</v>
      </c>
      <c r="M2122" s="13">
        <v>289</v>
      </c>
      <c r="N2122" s="13">
        <v>5</v>
      </c>
      <c r="O2122" s="15"/>
      <c r="P2122" s="6">
        <v>40268.661759259259</v>
      </c>
      <c r="Q2122" s="16" t="s">
        <v>7289</v>
      </c>
      <c r="R2122" s="17" t="s">
        <v>7290</v>
      </c>
      <c r="S2122" s="12"/>
      <c r="T2122" s="12"/>
      <c r="U2122" s="10" t="str">
        <f>HYPERLINK("https://pbs.twimg.com/profile_images/1067232888272429056/b3NXJZo9.jpg","View")</f>
        <v>View</v>
      </c>
    </row>
    <row r="2123" spans="1:21" ht="51">
      <c r="A2123" s="6">
        <v>43436.937349537038</v>
      </c>
      <c r="B2123" s="7" t="str">
        <f>HYPERLINK("https://twitter.com/fray_fanatic","@fray_fanatic")</f>
        <v>@fray_fanatic</v>
      </c>
      <c r="C2123" s="8" t="s">
        <v>315</v>
      </c>
      <c r="D2123" s="9" t="s">
        <v>7291</v>
      </c>
      <c r="E2123" s="10" t="str">
        <f>HYPERLINK("https://twitter.com/fray_fanatic/status/1069342893918294017","1069342893918294017")</f>
        <v>1069342893918294017</v>
      </c>
      <c r="F2123" s="12"/>
      <c r="G2123" s="12"/>
      <c r="H2123" s="12"/>
      <c r="I2123" s="13">
        <v>8</v>
      </c>
      <c r="J2123" s="13">
        <v>22</v>
      </c>
      <c r="K2123" s="14" t="str">
        <f t="shared" si="378"/>
        <v>Twitter for Android</v>
      </c>
      <c r="L2123" s="13">
        <v>7963</v>
      </c>
      <c r="M2123" s="13">
        <v>2541</v>
      </c>
      <c r="N2123" s="13">
        <v>173</v>
      </c>
      <c r="O2123" s="15"/>
      <c r="P2123" s="6">
        <v>40070.000532407408</v>
      </c>
      <c r="Q2123" s="16" t="s">
        <v>191</v>
      </c>
      <c r="R2123" s="17" t="s">
        <v>7292</v>
      </c>
      <c r="S2123" s="12"/>
      <c r="T2123" s="12"/>
      <c r="U2123" s="10" t="str">
        <f>HYPERLINK("https://pbs.twimg.com/profile_images/1014215099459035137/BgA6gzfV.jpg","View")</f>
        <v>View</v>
      </c>
    </row>
    <row r="2124" spans="1:21" ht="30.6">
      <c r="A2124" s="6">
        <v>43436.9371875</v>
      </c>
      <c r="B2124" s="7" t="str">
        <f>HYPERLINK("https://twitter.com/JC_C_A","@JC_C_A")</f>
        <v>@JC_C_A</v>
      </c>
      <c r="C2124" s="8" t="s">
        <v>630</v>
      </c>
      <c r="D2124" s="9" t="s">
        <v>7293</v>
      </c>
      <c r="E2124" s="10" t="str">
        <f>HYPERLINK("https://twitter.com/JC_C_A/status/1069342831192485889","1069342831192485889")</f>
        <v>1069342831192485889</v>
      </c>
      <c r="F2124" s="12"/>
      <c r="G2124" s="12"/>
      <c r="H2124" s="12"/>
      <c r="I2124" s="13">
        <v>27</v>
      </c>
      <c r="J2124" s="13">
        <v>31</v>
      </c>
      <c r="K2124" s="14" t="str">
        <f t="shared" si="378"/>
        <v>Twitter for Android</v>
      </c>
      <c r="L2124" s="13">
        <v>1535</v>
      </c>
      <c r="M2124" s="13">
        <v>1285</v>
      </c>
      <c r="N2124" s="13">
        <v>4</v>
      </c>
      <c r="O2124" s="15"/>
      <c r="P2124" s="6">
        <v>43055.93885416667</v>
      </c>
      <c r="Q2124" s="16" t="s">
        <v>632</v>
      </c>
      <c r="R2124" s="17" t="s">
        <v>633</v>
      </c>
      <c r="S2124" s="12"/>
      <c r="T2124" s="12"/>
      <c r="U2124" s="10" t="str">
        <f>HYPERLINK("https://pbs.twimg.com/profile_images/1029775179520647169/gj_YgLkP.jpg","View")</f>
        <v>View</v>
      </c>
    </row>
    <row r="2125" spans="1:21" ht="40.799999999999997">
      <c r="A2125" s="6">
        <v>43436.936747685184</v>
      </c>
      <c r="B2125" s="7" t="str">
        <f>HYPERLINK("https://twitter.com/JorLopezP","@JorLopezP")</f>
        <v>@JorLopezP</v>
      </c>
      <c r="C2125" s="8" t="s">
        <v>7294</v>
      </c>
      <c r="D2125" s="9" t="s">
        <v>7295</v>
      </c>
      <c r="E2125" s="10" t="str">
        <f>HYPERLINK("https://twitter.com/JorLopezP/status/1069342674874970112","1069342674874970112")</f>
        <v>1069342674874970112</v>
      </c>
      <c r="F2125" s="12"/>
      <c r="G2125" s="12"/>
      <c r="H2125" s="12"/>
      <c r="I2125" s="13">
        <v>0</v>
      </c>
      <c r="J2125" s="13">
        <v>0</v>
      </c>
      <c r="K2125" s="14" t="str">
        <f t="shared" si="378"/>
        <v>Twitter for Android</v>
      </c>
      <c r="L2125" s="13">
        <v>827</v>
      </c>
      <c r="M2125" s="13">
        <v>2949</v>
      </c>
      <c r="N2125" s="13">
        <v>12</v>
      </c>
      <c r="O2125" s="15"/>
      <c r="P2125" s="6">
        <v>40455.045868055553</v>
      </c>
      <c r="Q2125" s="16" t="s">
        <v>7296</v>
      </c>
      <c r="R2125" s="17" t="s">
        <v>7297</v>
      </c>
      <c r="S2125" s="11" t="s">
        <v>7298</v>
      </c>
      <c r="T2125" s="12"/>
      <c r="U2125" s="10" t="str">
        <f>HYPERLINK("https://pbs.twimg.com/profile_images/1001035908743925760/dfQD_OzD.jpg","View")</f>
        <v>View</v>
      </c>
    </row>
    <row r="2126" spans="1:21" ht="30.6">
      <c r="A2126" s="6">
        <v>43436.936122685191</v>
      </c>
      <c r="B2126" s="7" t="str">
        <f>HYPERLINK("https://twitter.com/LaVozdeCadiz","@LaVozdeCadiz")</f>
        <v>@LaVozdeCadiz</v>
      </c>
      <c r="C2126" s="8" t="s">
        <v>7299</v>
      </c>
      <c r="D2126" s="9" t="s">
        <v>7300</v>
      </c>
      <c r="E2126" s="10" t="str">
        <f>HYPERLINK("https://twitter.com/LaVozdeCadiz/status/1069342447275335680","1069342447275335680")</f>
        <v>1069342447275335680</v>
      </c>
      <c r="F2126" s="11" t="s">
        <v>7301</v>
      </c>
      <c r="G2126" s="12"/>
      <c r="H2126" s="12"/>
      <c r="I2126" s="13">
        <v>1</v>
      </c>
      <c r="J2126" s="13">
        <v>1</v>
      </c>
      <c r="K2126" s="14" t="str">
        <f>HYPERLINK("http://www.hootsuite.com","Hootsuite")</f>
        <v>Hootsuite</v>
      </c>
      <c r="L2126" s="13">
        <v>45918</v>
      </c>
      <c r="M2126" s="13">
        <v>344</v>
      </c>
      <c r="N2126" s="13">
        <v>595</v>
      </c>
      <c r="O2126" s="19" t="s">
        <v>44</v>
      </c>
      <c r="P2126" s="6">
        <v>39758.444062499999</v>
      </c>
      <c r="Q2126" s="16" t="s">
        <v>2209</v>
      </c>
      <c r="R2126" s="17" t="s">
        <v>7302</v>
      </c>
      <c r="S2126" s="11" t="s">
        <v>7303</v>
      </c>
      <c r="T2126" s="12"/>
      <c r="U2126" s="10" t="str">
        <f>HYPERLINK("https://pbs.twimg.com/profile_images/737212219855888386/G-o8xCbU.jpg","View")</f>
        <v>View</v>
      </c>
    </row>
    <row r="2127" spans="1:21" ht="40.799999999999997">
      <c r="A2127" s="6">
        <v>43436.934699074074</v>
      </c>
      <c r="B2127" s="7" t="str">
        <f>HYPERLINK("https://twitter.com/HederataHeim","@HederataHeim")</f>
        <v>@HederataHeim</v>
      </c>
      <c r="C2127" s="8" t="s">
        <v>7304</v>
      </c>
      <c r="D2127" s="9" t="s">
        <v>7305</v>
      </c>
      <c r="E2127" s="10" t="str">
        <f>HYPERLINK("https://twitter.com/HederataHeim/status/1069341931828887552","1069341931828887552")</f>
        <v>1069341931828887552</v>
      </c>
      <c r="F2127" s="12"/>
      <c r="G2127" s="12"/>
      <c r="H2127" s="12"/>
      <c r="I2127" s="13">
        <v>0</v>
      </c>
      <c r="J2127" s="13">
        <v>0</v>
      </c>
      <c r="K2127" s="14" t="str">
        <f>HYPERLINK("http://twitter.com/download/android","Twitter for Android")</f>
        <v>Twitter for Android</v>
      </c>
      <c r="L2127" s="13">
        <v>143</v>
      </c>
      <c r="M2127" s="13">
        <v>144</v>
      </c>
      <c r="N2127" s="13">
        <v>14</v>
      </c>
      <c r="O2127" s="15"/>
      <c r="P2127" s="6">
        <v>39966.822569444441</v>
      </c>
      <c r="Q2127" s="16" t="s">
        <v>7306</v>
      </c>
      <c r="R2127" s="17" t="s">
        <v>7307</v>
      </c>
      <c r="S2127" s="12"/>
      <c r="T2127" s="12"/>
      <c r="U2127" s="10" t="str">
        <f>HYPERLINK("https://pbs.twimg.com/profile_images/1068269114433708034/hHbWWrfX.jpg","View")</f>
        <v>View</v>
      </c>
    </row>
    <row r="2128" spans="1:21" ht="30.6">
      <c r="A2128" s="6">
        <v>43436.934178240743</v>
      </c>
      <c r="B2128" s="7" t="str">
        <f>HYPERLINK("https://twitter.com/Aclnari","@Aclnari")</f>
        <v>@Aclnari</v>
      </c>
      <c r="C2128" s="8" t="s">
        <v>6790</v>
      </c>
      <c r="D2128" s="9" t="s">
        <v>7308</v>
      </c>
      <c r="E2128" s="10" t="str">
        <f>HYPERLINK("https://twitter.com/Aclnari/status/1069341744473563136","1069341744473563136")</f>
        <v>1069341744473563136</v>
      </c>
      <c r="F2128" s="12"/>
      <c r="G2128" s="12"/>
      <c r="H2128" s="12"/>
      <c r="I2128" s="13">
        <v>0</v>
      </c>
      <c r="J2128" s="13">
        <v>0</v>
      </c>
      <c r="K2128" s="14" t="str">
        <f>HYPERLINK("http://twitter.com","Twitter Web Client")</f>
        <v>Twitter Web Client</v>
      </c>
      <c r="L2128" s="13">
        <v>80</v>
      </c>
      <c r="M2128" s="13">
        <v>248</v>
      </c>
      <c r="N2128" s="13">
        <v>3</v>
      </c>
      <c r="O2128" s="15"/>
      <c r="P2128" s="6">
        <v>40743.05327546296</v>
      </c>
      <c r="Q2128" s="12"/>
      <c r="R2128" s="17" t="s">
        <v>6792</v>
      </c>
      <c r="S2128" s="12"/>
      <c r="T2128" s="12"/>
      <c r="U2128" s="10" t="str">
        <f>HYPERLINK("https://pbs.twimg.com/profile_images/1769759395/Liverbird_avatar.jpg","View")</f>
        <v>View</v>
      </c>
    </row>
    <row r="2129" spans="1:21" ht="30.6">
      <c r="A2129" s="6">
        <v>43436.933877314819</v>
      </c>
      <c r="B2129" s="7" t="str">
        <f>HYPERLINK("https://twitter.com/cbmisol","@cbmisol")</f>
        <v>@cbmisol</v>
      </c>
      <c r="C2129" s="8" t="s">
        <v>7309</v>
      </c>
      <c r="D2129" s="9" t="s">
        <v>7310</v>
      </c>
      <c r="E2129" s="10" t="str">
        <f>HYPERLINK("https://twitter.com/cbmisol/status/1069341633089626112","1069341633089626112")</f>
        <v>1069341633089626112</v>
      </c>
      <c r="F2129" s="12"/>
      <c r="G2129" s="12"/>
      <c r="H2129" s="12"/>
      <c r="I2129" s="13">
        <v>1</v>
      </c>
      <c r="J2129" s="13">
        <v>2</v>
      </c>
      <c r="K2129" s="14" t="str">
        <f>HYPERLINK("http://twitter.com/download/iphone","Twitter for iPhone")</f>
        <v>Twitter for iPhone</v>
      </c>
      <c r="L2129" s="13">
        <v>452</v>
      </c>
      <c r="M2129" s="13">
        <v>1230</v>
      </c>
      <c r="N2129" s="13">
        <v>2</v>
      </c>
      <c r="O2129" s="15"/>
      <c r="P2129" s="6">
        <v>41495.859803240739</v>
      </c>
      <c r="Q2129" s="16" t="s">
        <v>109</v>
      </c>
      <c r="R2129" s="17" t="s">
        <v>7311</v>
      </c>
      <c r="S2129" s="12"/>
      <c r="T2129" s="12"/>
      <c r="U2129" s="10" t="str">
        <f>HYPERLINK("https://pbs.twimg.com/profile_images/712938117867638784/Sa2Tgw3C.jpg","View")</f>
        <v>View</v>
      </c>
    </row>
    <row r="2130" spans="1:21" ht="20.399999999999999">
      <c r="A2130" s="6">
        <v>43436.93368055555</v>
      </c>
      <c r="B2130" s="7" t="str">
        <f>HYPERLINK("https://twitter.com/lwtuaznar","@lwtuaznar")</f>
        <v>@lwtuaznar</v>
      </c>
      <c r="C2130" s="8" t="s">
        <v>7312</v>
      </c>
      <c r="D2130" s="9" t="s">
        <v>7313</v>
      </c>
      <c r="E2130" s="10" t="str">
        <f>HYPERLINK("https://twitter.com/lwtuaznar/status/1069341561660555265","1069341561660555265")</f>
        <v>1069341561660555265</v>
      </c>
      <c r="F2130" s="12"/>
      <c r="G2130" s="12"/>
      <c r="H2130" s="12"/>
      <c r="I2130" s="13">
        <v>7</v>
      </c>
      <c r="J2130" s="13">
        <v>18</v>
      </c>
      <c r="K2130" s="14" t="str">
        <f>HYPERLINK("http://twitter.com","Twitter Web Client")</f>
        <v>Twitter Web Client</v>
      </c>
      <c r="L2130" s="13">
        <v>27286</v>
      </c>
      <c r="M2130" s="13">
        <v>455</v>
      </c>
      <c r="N2130" s="13">
        <v>378</v>
      </c>
      <c r="O2130" s="15"/>
      <c r="P2130" s="6">
        <v>40850.883344907408</v>
      </c>
      <c r="Q2130" s="12"/>
      <c r="R2130" s="17" t="s">
        <v>7314</v>
      </c>
      <c r="S2130" s="12"/>
      <c r="T2130" s="12"/>
      <c r="U2130" s="10" t="str">
        <f>HYPERLINK("https://pbs.twimg.com/profile_images/1620959525/pop_aznar.jpg","View")</f>
        <v>View</v>
      </c>
    </row>
    <row r="2131" spans="1:21" ht="30.6">
      <c r="A2131" s="6">
        <v>43436.933206018519</v>
      </c>
      <c r="B2131" s="7" t="str">
        <f>HYPERLINK("https://twitter.com/Moncloa_com","@Moncloa_com")</f>
        <v>@Moncloa_com</v>
      </c>
      <c r="C2131" s="21" t="s">
        <v>7315</v>
      </c>
      <c r="D2131" s="9" t="s">
        <v>7316</v>
      </c>
      <c r="E2131" s="10" t="str">
        <f>HYPERLINK("https://twitter.com/Moncloa_com/status/1069341391996760064","1069341391996760064")</f>
        <v>1069341391996760064</v>
      </c>
      <c r="F2131" s="11" t="s">
        <v>7317</v>
      </c>
      <c r="G2131" s="12"/>
      <c r="H2131" s="12"/>
      <c r="I2131" s="13">
        <v>10</v>
      </c>
      <c r="J2131" s="13">
        <v>7</v>
      </c>
      <c r="K2131" s="14" t="str">
        <f>HYPERLINK("https://about.twitter.com/products/tweetdeck","TweetDeck")</f>
        <v>TweetDeck</v>
      </c>
      <c r="L2131" s="13">
        <v>9611</v>
      </c>
      <c r="M2131" s="13">
        <v>520</v>
      </c>
      <c r="N2131" s="13">
        <v>107</v>
      </c>
      <c r="O2131" s="15"/>
      <c r="P2131" s="6">
        <v>43262.021307870367</v>
      </c>
      <c r="Q2131" s="16" t="s">
        <v>30</v>
      </c>
      <c r="R2131" s="17" t="s">
        <v>7318</v>
      </c>
      <c r="S2131" s="11" t="s">
        <v>7319</v>
      </c>
      <c r="T2131" s="12"/>
      <c r="U2131" s="10" t="str">
        <f>HYPERLINK("https://pbs.twimg.com/profile_images/1045635876792004608/0KdkQCcF.jpg","View")</f>
        <v>View</v>
      </c>
    </row>
    <row r="2132" spans="1:21" ht="51">
      <c r="A2132" s="6">
        <v>43436.932719907403</v>
      </c>
      <c r="B2132" s="7" t="str">
        <f>HYPERLINK("https://twitter.com/OreiDani","@OreiDani")</f>
        <v>@OreiDani</v>
      </c>
      <c r="C2132" s="8" t="s">
        <v>7320</v>
      </c>
      <c r="D2132" s="9" t="s">
        <v>7321</v>
      </c>
      <c r="E2132" s="10" t="str">
        <f>HYPERLINK("https://twitter.com/OreiDani/status/1069341212644122632","1069341212644122632")</f>
        <v>1069341212644122632</v>
      </c>
      <c r="F2132" s="12"/>
      <c r="G2132" s="12"/>
      <c r="H2132" s="12"/>
      <c r="I2132" s="13">
        <v>3</v>
      </c>
      <c r="J2132" s="13">
        <v>4</v>
      </c>
      <c r="K2132" s="14" t="str">
        <f>HYPERLINK("http://twitter.com/download/android","Twitter for Android")</f>
        <v>Twitter for Android</v>
      </c>
      <c r="L2132" s="13">
        <v>322</v>
      </c>
      <c r="M2132" s="13">
        <v>348</v>
      </c>
      <c r="N2132" s="13">
        <v>4</v>
      </c>
      <c r="O2132" s="15"/>
      <c r="P2132" s="6">
        <v>41152.889143518521</v>
      </c>
      <c r="Q2132" s="12"/>
      <c r="R2132" s="17" t="s">
        <v>7322</v>
      </c>
      <c r="S2132" s="12"/>
      <c r="T2132" s="12"/>
      <c r="U2132" s="10" t="str">
        <f>HYPERLINK("https://pbs.twimg.com/profile_images/1054310392816644096/blaGaHnR.jpg","View")</f>
        <v>View</v>
      </c>
    </row>
    <row r="2133" spans="1:21" ht="40.799999999999997">
      <c r="A2133" s="6">
        <v>43436.931932870371</v>
      </c>
      <c r="B2133" s="7" t="str">
        <f>HYPERLINK("https://twitter.com/alfonso_poza","@alfonso_poza")</f>
        <v>@alfonso_poza</v>
      </c>
      <c r="C2133" s="8" t="s">
        <v>7323</v>
      </c>
      <c r="D2133" s="9" t="s">
        <v>7324</v>
      </c>
      <c r="E2133" s="10" t="str">
        <f>HYPERLINK("https://twitter.com/alfonso_poza/status/1069340929465688070","1069340929465688070")</f>
        <v>1069340929465688070</v>
      </c>
      <c r="F2133" s="12"/>
      <c r="G2133" s="11" t="s">
        <v>7325</v>
      </c>
      <c r="H2133" s="12"/>
      <c r="I2133" s="13">
        <v>0</v>
      </c>
      <c r="J2133" s="13">
        <v>0</v>
      </c>
      <c r="K2133" s="14" t="str">
        <f>HYPERLINK("http://twitter.com","Twitter Web Client")</f>
        <v>Twitter Web Client</v>
      </c>
      <c r="L2133" s="13">
        <v>27</v>
      </c>
      <c r="M2133" s="13">
        <v>135</v>
      </c>
      <c r="N2133" s="13">
        <v>0</v>
      </c>
      <c r="O2133" s="15"/>
      <c r="P2133" s="6">
        <v>43271.776122685187</v>
      </c>
      <c r="Q2133" s="12"/>
      <c r="R2133" s="17" t="s">
        <v>7326</v>
      </c>
      <c r="S2133" s="11" t="s">
        <v>7327</v>
      </c>
      <c r="T2133" s="12"/>
      <c r="U2133" s="10" t="str">
        <f>HYPERLINK("https://pbs.twimg.com/profile_images/1012282431167254528/uQ2SAJOK.jpg","View")</f>
        <v>View</v>
      </c>
    </row>
    <row r="2134" spans="1:21" ht="30.6">
      <c r="A2134" s="6">
        <v>43436.930879629625</v>
      </c>
      <c r="B2134" s="7" t="str">
        <f>HYPERLINK("https://twitter.com/mariodlopez","@mariodlopez")</f>
        <v>@mariodlopez</v>
      </c>
      <c r="C2134" s="8" t="s">
        <v>7328</v>
      </c>
      <c r="D2134" s="9" t="s">
        <v>7329</v>
      </c>
      <c r="E2134" s="10" t="str">
        <f>HYPERLINK("https://twitter.com/mariodlopez/status/1069340547851141120","1069340547851141120")</f>
        <v>1069340547851141120</v>
      </c>
      <c r="F2134" s="12"/>
      <c r="G2134" s="12"/>
      <c r="H2134" s="12"/>
      <c r="I2134" s="13">
        <v>4</v>
      </c>
      <c r="J2134" s="13">
        <v>12</v>
      </c>
      <c r="K2134" s="14" t="str">
        <f>HYPERLINK("http://twitter.com/download/iphone","Twitter for iPhone")</f>
        <v>Twitter for iPhone</v>
      </c>
      <c r="L2134" s="13">
        <v>1040</v>
      </c>
      <c r="M2134" s="13">
        <v>1001</v>
      </c>
      <c r="N2134" s="13">
        <v>28</v>
      </c>
      <c r="O2134" s="15"/>
      <c r="P2134" s="6">
        <v>39990.962812500002</v>
      </c>
      <c r="Q2134" s="16" t="s">
        <v>109</v>
      </c>
      <c r="R2134" s="17" t="s">
        <v>7330</v>
      </c>
      <c r="S2134" s="12"/>
      <c r="T2134" s="12"/>
      <c r="U2134" s="10" t="str">
        <f>HYPERLINK("https://pbs.twimg.com/profile_images/1757445913/fototwitter.jpg","View")</f>
        <v>View</v>
      </c>
    </row>
    <row r="2135" spans="1:21" ht="13.2">
      <c r="A2135" s="6">
        <v>43436.930717592593</v>
      </c>
      <c r="B2135" s="7" t="str">
        <f>HYPERLINK("https://twitter.com/JCCHristo","@JCCHristo")</f>
        <v>@JCCHristo</v>
      </c>
      <c r="C2135" s="8" t="s">
        <v>7331</v>
      </c>
      <c r="D2135" s="9" t="s">
        <v>7332</v>
      </c>
      <c r="E2135" s="10" t="str">
        <f>HYPERLINK("https://twitter.com/JCCHristo/status/1069340487251869698","1069340487251869698")</f>
        <v>1069340487251869698</v>
      </c>
      <c r="F2135" s="12"/>
      <c r="G2135" s="12"/>
      <c r="H2135" s="12"/>
      <c r="I2135" s="13">
        <v>0</v>
      </c>
      <c r="J2135" s="13">
        <v>0</v>
      </c>
      <c r="K2135" s="14" t="str">
        <f>HYPERLINK("http://twitter.com","Twitter Web Client")</f>
        <v>Twitter Web Client</v>
      </c>
      <c r="L2135" s="13">
        <v>192</v>
      </c>
      <c r="M2135" s="13">
        <v>334</v>
      </c>
      <c r="N2135" s="13">
        <v>1</v>
      </c>
      <c r="O2135" s="15"/>
      <c r="P2135" s="6">
        <v>41049.797349537039</v>
      </c>
      <c r="Q2135" s="16" t="s">
        <v>1438</v>
      </c>
      <c r="R2135" s="17" t="s">
        <v>7333</v>
      </c>
      <c r="S2135" s="12"/>
      <c r="T2135" s="12"/>
      <c r="U2135" s="10" t="str">
        <f>HYPERLINK("https://pbs.twimg.com/profile_images/2235442381/santan2.jpg","View")</f>
        <v>View</v>
      </c>
    </row>
    <row r="2136" spans="1:21" ht="30.6">
      <c r="A2136" s="6">
        <v>43436.929502314815</v>
      </c>
      <c r="B2136" s="7" t="str">
        <f>HYPERLINK("https://twitter.com/CharritoER","@CharritoER")</f>
        <v>@CharritoER</v>
      </c>
      <c r="C2136" s="8" t="s">
        <v>6648</v>
      </c>
      <c r="D2136" s="9" t="s">
        <v>7334</v>
      </c>
      <c r="E2136" s="10" t="str">
        <f>HYPERLINK("https://twitter.com/CharritoER/status/1069340049379069953","1069340049379069953")</f>
        <v>1069340049379069953</v>
      </c>
      <c r="F2136" s="12"/>
      <c r="G2136" s="12"/>
      <c r="H2136" s="12"/>
      <c r="I2136" s="13">
        <v>0</v>
      </c>
      <c r="J2136" s="13">
        <v>0</v>
      </c>
      <c r="K2136" s="14" t="str">
        <f t="shared" ref="K2136:K2138" si="379">HYPERLINK("http://twitter.com/download/android","Twitter for Android")</f>
        <v>Twitter for Android</v>
      </c>
      <c r="L2136" s="13">
        <v>435</v>
      </c>
      <c r="M2136" s="13">
        <v>532</v>
      </c>
      <c r="N2136" s="13">
        <v>17</v>
      </c>
      <c r="O2136" s="15"/>
      <c r="P2136" s="6">
        <v>40868.034421296295</v>
      </c>
      <c r="Q2136" s="16" t="s">
        <v>6650</v>
      </c>
      <c r="R2136" s="17" t="s">
        <v>6651</v>
      </c>
      <c r="S2136" s="11" t="s">
        <v>6652</v>
      </c>
      <c r="T2136" s="12"/>
      <c r="U2136" s="10" t="str">
        <f>HYPERLINK("https://pbs.twimg.com/profile_images/1650696413/doc_brown.jpg","View")</f>
        <v>View</v>
      </c>
    </row>
    <row r="2137" spans="1:21" ht="20.399999999999999">
      <c r="A2137" s="6">
        <v>43436.929085648153</v>
      </c>
      <c r="B2137" s="7" t="str">
        <f>HYPERLINK("https://twitter.com/VictorMoscosoQ","@VictorMoscosoQ")</f>
        <v>@VictorMoscosoQ</v>
      </c>
      <c r="C2137" s="8" t="s">
        <v>7335</v>
      </c>
      <c r="D2137" s="9" t="s">
        <v>7336</v>
      </c>
      <c r="E2137" s="10" t="str">
        <f>HYPERLINK("https://twitter.com/VictorMoscosoQ/status/1069339896345780224","1069339896345780224")</f>
        <v>1069339896345780224</v>
      </c>
      <c r="F2137" s="12"/>
      <c r="G2137" s="12"/>
      <c r="H2137" s="12"/>
      <c r="I2137" s="13">
        <v>0</v>
      </c>
      <c r="J2137" s="13">
        <v>0</v>
      </c>
      <c r="K2137" s="14" t="str">
        <f t="shared" si="379"/>
        <v>Twitter for Android</v>
      </c>
      <c r="L2137" s="13">
        <v>52</v>
      </c>
      <c r="M2137" s="13">
        <v>100</v>
      </c>
      <c r="N2137" s="13">
        <v>3</v>
      </c>
      <c r="O2137" s="15"/>
      <c r="P2137" s="6">
        <v>40697.488668981481</v>
      </c>
      <c r="Q2137" s="16" t="s">
        <v>7337</v>
      </c>
      <c r="R2137" s="17" t="s">
        <v>7338</v>
      </c>
      <c r="S2137" s="12"/>
      <c r="T2137" s="12"/>
      <c r="U2137" s="10" t="str">
        <f>HYPERLINK("https://pbs.twimg.com/profile_images/579654558764425216/g1PoFpg3.jpg","View")</f>
        <v>View</v>
      </c>
    </row>
    <row r="2138" spans="1:21" ht="20.399999999999999">
      <c r="A2138" s="6">
        <v>43436.928530092591</v>
      </c>
      <c r="B2138" s="7" t="str">
        <f>HYPERLINK("https://twitter.com/rot_spanier","@rot_spanier")</f>
        <v>@rot_spanier</v>
      </c>
      <c r="C2138" s="8" t="s">
        <v>7339</v>
      </c>
      <c r="D2138" s="9" t="s">
        <v>7340</v>
      </c>
      <c r="E2138" s="10" t="str">
        <f>HYPERLINK("https://twitter.com/rot_spanier/status/1069339697351221255","1069339697351221255")</f>
        <v>1069339697351221255</v>
      </c>
      <c r="F2138" s="12"/>
      <c r="G2138" s="12"/>
      <c r="H2138" s="12"/>
      <c r="I2138" s="13">
        <v>0</v>
      </c>
      <c r="J2138" s="13">
        <v>2</v>
      </c>
      <c r="K2138" s="14" t="str">
        <f t="shared" si="379"/>
        <v>Twitter for Android</v>
      </c>
      <c r="L2138" s="13">
        <v>852</v>
      </c>
      <c r="M2138" s="13">
        <v>128</v>
      </c>
      <c r="N2138" s="13">
        <v>8</v>
      </c>
      <c r="O2138" s="15"/>
      <c r="P2138" s="6">
        <v>42392.718715277777</v>
      </c>
      <c r="Q2138" s="16" t="s">
        <v>7341</v>
      </c>
      <c r="R2138" s="28" t="s">
        <v>7342</v>
      </c>
      <c r="S2138" s="12"/>
      <c r="T2138" s="12"/>
      <c r="U2138" s="10" t="str">
        <f>HYPERLINK("https://pbs.twimg.com/profile_images/1008404448278958080/0EvxeT9t.jpg","View")</f>
        <v>View</v>
      </c>
    </row>
    <row r="2139" spans="1:21" ht="40.799999999999997">
      <c r="A2139" s="6">
        <v>43436.927986111114</v>
      </c>
      <c r="B2139" s="7" t="str">
        <f>HYPERLINK("https://twitter.com/hdelosrios2","@hdelosrios2")</f>
        <v>@hdelosrios2</v>
      </c>
      <c r="C2139" s="8" t="s">
        <v>7343</v>
      </c>
      <c r="D2139" s="9" t="s">
        <v>7344</v>
      </c>
      <c r="E2139" s="10" t="str">
        <f>HYPERLINK("https://twitter.com/hdelosrios2/status/1069339499010973701","1069339499010973701")</f>
        <v>1069339499010973701</v>
      </c>
      <c r="F2139" s="12"/>
      <c r="G2139" s="12"/>
      <c r="H2139" s="12"/>
      <c r="I2139" s="13">
        <v>0</v>
      </c>
      <c r="J2139" s="13">
        <v>2</v>
      </c>
      <c r="K2139" s="14" t="str">
        <f>HYPERLINK("http://twitter.com/#!/download/ipad","Twitter for iPad")</f>
        <v>Twitter for iPad</v>
      </c>
      <c r="L2139" s="13">
        <v>552</v>
      </c>
      <c r="M2139" s="13">
        <v>737</v>
      </c>
      <c r="N2139" s="13">
        <v>4</v>
      </c>
      <c r="O2139" s="15"/>
      <c r="P2139" s="6">
        <v>40240.522986111115</v>
      </c>
      <c r="Q2139" s="16" t="s">
        <v>191</v>
      </c>
      <c r="R2139" s="17" t="s">
        <v>7345</v>
      </c>
      <c r="S2139" s="11" t="s">
        <v>7346</v>
      </c>
      <c r="T2139" s="12"/>
      <c r="U2139" s="10" t="str">
        <f>HYPERLINK("https://pbs.twimg.com/profile_images/1066489093218099200/TkK1MfJ4.jpg","View")</f>
        <v>View</v>
      </c>
    </row>
    <row r="2140" spans="1:21" ht="40.799999999999997">
      <c r="A2140" s="6">
        <v>43436.927557870367</v>
      </c>
      <c r="B2140" s="7" t="str">
        <f>HYPERLINK("https://twitter.com/BraisRodrguez1","@BraisRodrguez1")</f>
        <v>@BraisRodrguez1</v>
      </c>
      <c r="C2140" s="8" t="s">
        <v>7347</v>
      </c>
      <c r="D2140" s="9" t="s">
        <v>7348</v>
      </c>
      <c r="E2140" s="10" t="str">
        <f>HYPERLINK("https://twitter.com/BraisRodrguez1/status/1069339343981092864","1069339343981092864")</f>
        <v>1069339343981092864</v>
      </c>
      <c r="F2140" s="12"/>
      <c r="G2140" s="12"/>
      <c r="H2140" s="12"/>
      <c r="I2140" s="13">
        <v>1</v>
      </c>
      <c r="J2140" s="13">
        <v>4</v>
      </c>
      <c r="K2140" s="14" t="str">
        <f t="shared" ref="K2140:K2141" si="380">HYPERLINK("http://twitter.com/download/android","Twitter for Android")</f>
        <v>Twitter for Android</v>
      </c>
      <c r="L2140" s="13">
        <v>1021</v>
      </c>
      <c r="M2140" s="13">
        <v>4999</v>
      </c>
      <c r="N2140" s="13">
        <v>30</v>
      </c>
      <c r="O2140" s="15"/>
      <c r="P2140" s="6">
        <v>42566.668576388889</v>
      </c>
      <c r="Q2140" s="16" t="s">
        <v>7349</v>
      </c>
      <c r="R2140" s="17" t="s">
        <v>7350</v>
      </c>
      <c r="S2140" s="12"/>
      <c r="T2140" s="12"/>
      <c r="U2140" s="10" t="str">
        <f>HYPERLINK("https://pbs.twimg.com/profile_images/1056547291597848576/fhCYdHDt.jpg","View")</f>
        <v>View</v>
      </c>
    </row>
    <row r="2141" spans="1:21" ht="20.399999999999999">
      <c r="A2141" s="6">
        <v>43436.927395833336</v>
      </c>
      <c r="B2141" s="7" t="str">
        <f>HYPERLINK("https://twitter.com/SrJimvill","@SrJimvill")</f>
        <v>@SrJimvill</v>
      </c>
      <c r="C2141" s="8" t="s">
        <v>7351</v>
      </c>
      <c r="D2141" s="9" t="s">
        <v>7352</v>
      </c>
      <c r="E2141" s="10" t="str">
        <f>HYPERLINK("https://twitter.com/SrJimvill/status/1069339282664538117","1069339282664538117")</f>
        <v>1069339282664538117</v>
      </c>
      <c r="F2141" s="12"/>
      <c r="G2141" s="12"/>
      <c r="H2141" s="12"/>
      <c r="I2141" s="13">
        <v>63</v>
      </c>
      <c r="J2141" s="13">
        <v>112</v>
      </c>
      <c r="K2141" s="14" t="str">
        <f t="shared" si="380"/>
        <v>Twitter for Android</v>
      </c>
      <c r="L2141" s="13">
        <v>15524</v>
      </c>
      <c r="M2141" s="13">
        <v>548</v>
      </c>
      <c r="N2141" s="13">
        <v>311</v>
      </c>
      <c r="O2141" s="15"/>
      <c r="P2141" s="6">
        <v>40428.883043981477</v>
      </c>
      <c r="Q2141" s="16" t="s">
        <v>7353</v>
      </c>
      <c r="R2141" s="17" t="s">
        <v>7354</v>
      </c>
      <c r="S2141" s="12"/>
      <c r="T2141" s="12"/>
      <c r="U2141" s="10" t="str">
        <f>HYPERLINK("https://pbs.twimg.com/profile_images/1011638624612384770/Wx8oooxw.jpg","View")</f>
        <v>View</v>
      </c>
    </row>
    <row r="2142" spans="1:21" ht="40.799999999999997">
      <c r="A2142" s="6">
        <v>43436.926921296297</v>
      </c>
      <c r="B2142" s="7" t="str">
        <f>HYPERLINK("https://twitter.com/Geertxu","@Geertxu")</f>
        <v>@Geertxu</v>
      </c>
      <c r="C2142" s="8" t="s">
        <v>3684</v>
      </c>
      <c r="D2142" s="9" t="s">
        <v>7355</v>
      </c>
      <c r="E2142" s="10" t="str">
        <f>HYPERLINK("https://twitter.com/Geertxu/status/1069339111612456961","1069339111612456961")</f>
        <v>1069339111612456961</v>
      </c>
      <c r="F2142" s="12"/>
      <c r="G2142" s="12"/>
      <c r="H2142" s="12"/>
      <c r="I2142" s="13">
        <v>8</v>
      </c>
      <c r="J2142" s="13">
        <v>14</v>
      </c>
      <c r="K2142" s="14" t="str">
        <f t="shared" ref="K2142:K2143" si="381">HYPERLINK("http://twitter.com/download/iphone","Twitter for iPhone")</f>
        <v>Twitter for iPhone</v>
      </c>
      <c r="L2142" s="13">
        <v>2928</v>
      </c>
      <c r="M2142" s="13">
        <v>998</v>
      </c>
      <c r="N2142" s="13">
        <v>45</v>
      </c>
      <c r="O2142" s="15"/>
      <c r="P2142" s="6">
        <v>40612.667673611111</v>
      </c>
      <c r="Q2142" s="16" t="s">
        <v>3687</v>
      </c>
      <c r="R2142" s="17" t="s">
        <v>3688</v>
      </c>
      <c r="S2142" s="12"/>
      <c r="T2142" s="12"/>
      <c r="U2142" s="10" t="str">
        <f>HYPERLINK("https://pbs.twimg.com/profile_images/1050871193451094021/VjkUgdJO.jpg","View")</f>
        <v>View</v>
      </c>
    </row>
    <row r="2143" spans="1:21" ht="30.6">
      <c r="A2143" s="6">
        <v>43436.925115740742</v>
      </c>
      <c r="B2143" s="7" t="str">
        <f>HYPERLINK("https://twitter.com/josegilgado","@josegilgado")</f>
        <v>@josegilgado</v>
      </c>
      <c r="C2143" s="8" t="s">
        <v>7356</v>
      </c>
      <c r="D2143" s="9" t="s">
        <v>7357</v>
      </c>
      <c r="E2143" s="10" t="str">
        <f>HYPERLINK("https://twitter.com/josegilgado/status/1069338457502298112","1069338457502298112")</f>
        <v>1069338457502298112</v>
      </c>
      <c r="F2143" s="12"/>
      <c r="G2143" s="12"/>
      <c r="H2143" s="12"/>
      <c r="I2143" s="13">
        <v>1</v>
      </c>
      <c r="J2143" s="13">
        <v>2</v>
      </c>
      <c r="K2143" s="14" t="str">
        <f t="shared" si="381"/>
        <v>Twitter for iPhone</v>
      </c>
      <c r="L2143" s="13">
        <v>476</v>
      </c>
      <c r="M2143" s="13">
        <v>403</v>
      </c>
      <c r="N2143" s="13">
        <v>13</v>
      </c>
      <c r="O2143" s="15"/>
      <c r="P2143" s="6">
        <v>40575.926365740743</v>
      </c>
      <c r="Q2143" s="12"/>
      <c r="R2143" s="17" t="s">
        <v>7358</v>
      </c>
      <c r="S2143" s="12"/>
      <c r="T2143" s="12"/>
      <c r="U2143" s="10" t="str">
        <f>HYPERLINK("https://pbs.twimg.com/profile_images/629224476249595904/65pG6EVw.jpg","View")</f>
        <v>View</v>
      </c>
    </row>
    <row r="2144" spans="1:21" ht="30.6">
      <c r="A2144" s="6">
        <v>43436.92496527778</v>
      </c>
      <c r="B2144" s="7" t="str">
        <f>HYPERLINK("https://twitter.com/mrgifted","@mrgifted")</f>
        <v>@mrgifted</v>
      </c>
      <c r="C2144" s="8" t="s">
        <v>7359</v>
      </c>
      <c r="D2144" s="9" t="s">
        <v>7360</v>
      </c>
      <c r="E2144" s="10" t="str">
        <f>HYPERLINK("https://twitter.com/mrgifted/status/1069338402863149057","1069338402863149057")</f>
        <v>1069338402863149057</v>
      </c>
      <c r="F2144" s="12"/>
      <c r="G2144" s="12"/>
      <c r="H2144" s="12"/>
      <c r="I2144" s="13">
        <v>1</v>
      </c>
      <c r="J2144" s="13">
        <v>1</v>
      </c>
      <c r="K2144" s="14" t="str">
        <f>HYPERLINK("http://twitter.com/download/android","Twitter for Android")</f>
        <v>Twitter for Android</v>
      </c>
      <c r="L2144" s="13">
        <v>8992</v>
      </c>
      <c r="M2144" s="13">
        <v>3742</v>
      </c>
      <c r="N2144" s="13">
        <v>481</v>
      </c>
      <c r="O2144" s="15"/>
      <c r="P2144" s="6">
        <v>39498.626377314817</v>
      </c>
      <c r="Q2144" s="16" t="s">
        <v>191</v>
      </c>
      <c r="R2144" s="17" t="s">
        <v>7361</v>
      </c>
      <c r="S2144" s="11" t="s">
        <v>7362</v>
      </c>
      <c r="T2144" s="12"/>
      <c r="U2144" s="10" t="str">
        <f>HYPERLINK("https://pbs.twimg.com/profile_images/1042878860814114818/hXRvnaPF.jpg","View")</f>
        <v>View</v>
      </c>
    </row>
    <row r="2145" spans="1:21" ht="20.399999999999999">
      <c r="A2145" s="6">
        <v>43436.920219907406</v>
      </c>
      <c r="B2145" s="7" t="str">
        <f>HYPERLINK("https://twitter.com/Nazarenorenzi","@Nazarenorenzi")</f>
        <v>@Nazarenorenzi</v>
      </c>
      <c r="C2145" s="8" t="s">
        <v>5649</v>
      </c>
      <c r="D2145" s="9" t="s">
        <v>7363</v>
      </c>
      <c r="E2145" s="10" t="str">
        <f>HYPERLINK("https://twitter.com/Nazarenorenzi/status/1069336682879545344","1069336682879545344")</f>
        <v>1069336682879545344</v>
      </c>
      <c r="F2145" s="12"/>
      <c r="G2145" s="12"/>
      <c r="H2145" s="12"/>
      <c r="I2145" s="13">
        <v>0</v>
      </c>
      <c r="J2145" s="13">
        <v>0</v>
      </c>
      <c r="K2145" s="14" t="str">
        <f t="shared" ref="K2145:K2146" si="382">HYPERLINK("http://twitter.com","Twitter Web Client")</f>
        <v>Twitter Web Client</v>
      </c>
      <c r="L2145" s="13">
        <v>84</v>
      </c>
      <c r="M2145" s="13">
        <v>168</v>
      </c>
      <c r="N2145" s="13">
        <v>1</v>
      </c>
      <c r="O2145" s="15"/>
      <c r="P2145" s="6">
        <v>41733.261944444443</v>
      </c>
      <c r="Q2145" s="16" t="s">
        <v>5651</v>
      </c>
      <c r="R2145" s="20"/>
      <c r="S2145" s="12"/>
      <c r="T2145" s="12"/>
      <c r="U2145" s="10" t="str">
        <f>HYPERLINK("https://pbs.twimg.com/profile_images/607834715664601088/-sB8ycGt.jpg","View")</f>
        <v>View</v>
      </c>
    </row>
    <row r="2146" spans="1:21" ht="51">
      <c r="A2146" s="6">
        <v>43436.917893518519</v>
      </c>
      <c r="B2146" s="7" t="str">
        <f>HYPERLINK("https://twitter.com/jemagomoen","@jemagomoen")</f>
        <v>@jemagomoen</v>
      </c>
      <c r="C2146" s="8" t="s">
        <v>7364</v>
      </c>
      <c r="D2146" s="9" t="s">
        <v>7365</v>
      </c>
      <c r="E2146" s="10" t="str">
        <f>HYPERLINK("https://twitter.com/jemagomoen/status/1069335841980538881","1069335841980538881")</f>
        <v>1069335841980538881</v>
      </c>
      <c r="F2146" s="12"/>
      <c r="G2146" s="12"/>
      <c r="H2146" s="12"/>
      <c r="I2146" s="13">
        <v>0</v>
      </c>
      <c r="J2146" s="13">
        <v>0</v>
      </c>
      <c r="K2146" s="14" t="str">
        <f t="shared" si="382"/>
        <v>Twitter Web Client</v>
      </c>
      <c r="L2146" s="13">
        <v>1393</v>
      </c>
      <c r="M2146" s="13">
        <v>2270</v>
      </c>
      <c r="N2146" s="13">
        <v>34</v>
      </c>
      <c r="O2146" s="15"/>
      <c r="P2146" s="6">
        <v>40624.772881944446</v>
      </c>
      <c r="Q2146" s="16" t="s">
        <v>7366</v>
      </c>
      <c r="R2146" s="17" t="s">
        <v>7367</v>
      </c>
      <c r="S2146" s="12"/>
      <c r="T2146" s="12"/>
      <c r="U2146" s="10" t="str">
        <f>HYPERLINK("https://pbs.twimg.com/profile_images/812738190473887746/avAq0Uvq.jpg","View")</f>
        <v>View</v>
      </c>
    </row>
    <row r="2147" spans="1:21" ht="40.799999999999997">
      <c r="A2147" s="6">
        <v>43436.912534722222</v>
      </c>
      <c r="B2147" s="7" t="str">
        <f>HYPERLINK("https://twitter.com/abrazosimpares","@abrazosimpares")</f>
        <v>@abrazosimpares</v>
      </c>
      <c r="C2147" s="8" t="s">
        <v>7368</v>
      </c>
      <c r="D2147" s="9" t="s">
        <v>7369</v>
      </c>
      <c r="E2147" s="10" t="str">
        <f>HYPERLINK("https://twitter.com/abrazosimpares/status/1069333897283059713","1069333897283059713")</f>
        <v>1069333897283059713</v>
      </c>
      <c r="F2147" s="12"/>
      <c r="G2147" s="12"/>
      <c r="H2147" s="12"/>
      <c r="I2147" s="13">
        <v>1</v>
      </c>
      <c r="J2147" s="13">
        <v>1</v>
      </c>
      <c r="K2147" s="14" t="str">
        <f>HYPERLINK("http://twitter.com/download/iphone","Twitter for iPhone")</f>
        <v>Twitter for iPhone</v>
      </c>
      <c r="L2147" s="13">
        <v>261</v>
      </c>
      <c r="M2147" s="13">
        <v>553</v>
      </c>
      <c r="N2147" s="13">
        <v>7</v>
      </c>
      <c r="O2147" s="15"/>
      <c r="P2147" s="6">
        <v>43072.94740740741</v>
      </c>
      <c r="Q2147" s="16" t="s">
        <v>7370</v>
      </c>
      <c r="R2147" s="17" t="s">
        <v>7371</v>
      </c>
      <c r="S2147" s="11" t="s">
        <v>7372</v>
      </c>
      <c r="T2147" s="12"/>
      <c r="U2147" s="10" t="str">
        <f>HYPERLINK("https://pbs.twimg.com/profile_images/1071021657790263296/ud8l7hGH.jpg","View")</f>
        <v>View</v>
      </c>
    </row>
    <row r="2148" spans="1:21" ht="40.799999999999997">
      <c r="A2148" s="6">
        <v>43436.908009259263</v>
      </c>
      <c r="B2148" s="7" t="str">
        <f>HYPERLINK("https://twitter.com/VidalGuevar","@VidalGuevar")</f>
        <v>@VidalGuevar</v>
      </c>
      <c r="C2148" s="8" t="s">
        <v>7373</v>
      </c>
      <c r="D2148" s="9" t="s">
        <v>4581</v>
      </c>
      <c r="E2148" s="10" t="str">
        <f>HYPERLINK("https://twitter.com/VidalGuevar/status/1069332258501349380","1069332258501349380")</f>
        <v>1069332258501349380</v>
      </c>
      <c r="F2148" s="11" t="s">
        <v>7374</v>
      </c>
      <c r="G2148" s="12"/>
      <c r="H2148" s="12"/>
      <c r="I2148" s="13">
        <v>0</v>
      </c>
      <c r="J2148" s="13">
        <v>0</v>
      </c>
      <c r="K2148" s="14" t="str">
        <f>HYPERLINK("http://twitter.com/download/android","Twitter for Android")</f>
        <v>Twitter for Android</v>
      </c>
      <c r="L2148" s="13">
        <v>36</v>
      </c>
      <c r="M2148" s="13">
        <v>66</v>
      </c>
      <c r="N2148" s="13">
        <v>1</v>
      </c>
      <c r="O2148" s="15"/>
      <c r="P2148" s="6">
        <v>42276.010798611111</v>
      </c>
      <c r="Q2148" s="12"/>
      <c r="R2148" s="17" t="s">
        <v>7375</v>
      </c>
      <c r="S2148" s="12"/>
      <c r="T2148" s="12"/>
      <c r="U2148" s="10" t="str">
        <f>HYPERLINK("https://pbs.twimg.com/profile_images/648632308417851392/6UcQ-XkQ.jpg","View")</f>
        <v>View</v>
      </c>
    </row>
    <row r="2149" spans="1:21" ht="40.799999999999997">
      <c r="A2149" s="6">
        <v>43436.907858796301</v>
      </c>
      <c r="B2149" s="7" t="str">
        <f>HYPERLINK("https://twitter.com/juliajg93","@juliajg93")</f>
        <v>@juliajg93</v>
      </c>
      <c r="C2149" s="8" t="s">
        <v>7376</v>
      </c>
      <c r="D2149" s="9" t="s">
        <v>7377</v>
      </c>
      <c r="E2149" s="10" t="str">
        <f>HYPERLINK("https://twitter.com/juliajg93/status/1069332202922680326","1069332202922680326")</f>
        <v>1069332202922680326</v>
      </c>
      <c r="F2149" s="12"/>
      <c r="G2149" s="12"/>
      <c r="H2149" s="12"/>
      <c r="I2149" s="13">
        <v>0</v>
      </c>
      <c r="J2149" s="13">
        <v>2</v>
      </c>
      <c r="K2149" s="14" t="str">
        <f t="shared" ref="K2149:K2150" si="383">HYPERLINK("http://twitter.com/download/iphone","Twitter for iPhone")</f>
        <v>Twitter for iPhone</v>
      </c>
      <c r="L2149" s="13">
        <v>2544</v>
      </c>
      <c r="M2149" s="13">
        <v>1957</v>
      </c>
      <c r="N2149" s="13">
        <v>39</v>
      </c>
      <c r="O2149" s="15"/>
      <c r="P2149" s="6">
        <v>39957.659398148149</v>
      </c>
      <c r="Q2149" s="16" t="s">
        <v>232</v>
      </c>
      <c r="R2149" s="17" t="s">
        <v>7378</v>
      </c>
      <c r="S2149" s="12"/>
      <c r="T2149" s="12"/>
      <c r="U2149" s="10" t="str">
        <f>HYPERLINK("https://pbs.twimg.com/profile_images/968765879830958081/nldW3tpF.jpg","View")</f>
        <v>View</v>
      </c>
    </row>
    <row r="2150" spans="1:21" ht="20.399999999999999">
      <c r="A2150" s="6">
        <v>43436.907500000001</v>
      </c>
      <c r="B2150" s="7" t="str">
        <f>HYPERLINK("https://twitter.com/pepefotografia","@pepefotografia")</f>
        <v>@pepefotografia</v>
      </c>
      <c r="C2150" s="8" t="s">
        <v>7379</v>
      </c>
      <c r="D2150" s="9" t="s">
        <v>7380</v>
      </c>
      <c r="E2150" s="10" t="str">
        <f>HYPERLINK("https://twitter.com/pepefotografia/status/1069332074656608257","1069332074656608257")</f>
        <v>1069332074656608257</v>
      </c>
      <c r="F2150" s="12"/>
      <c r="G2150" s="12"/>
      <c r="H2150" s="12"/>
      <c r="I2150" s="13">
        <v>0</v>
      </c>
      <c r="J2150" s="13">
        <v>1</v>
      </c>
      <c r="K2150" s="14" t="str">
        <f t="shared" si="383"/>
        <v>Twitter for iPhone</v>
      </c>
      <c r="L2150" s="13">
        <v>12591</v>
      </c>
      <c r="M2150" s="13">
        <v>2513</v>
      </c>
      <c r="N2150" s="13">
        <v>236</v>
      </c>
      <c r="O2150" s="15"/>
      <c r="P2150" s="6">
        <v>40475.839548611111</v>
      </c>
      <c r="Q2150" s="16" t="s">
        <v>7381</v>
      </c>
      <c r="R2150" s="17" t="s">
        <v>7382</v>
      </c>
      <c r="S2150" s="11" t="s">
        <v>7383</v>
      </c>
      <c r="T2150" s="12"/>
      <c r="U2150" s="10" t="str">
        <f>HYPERLINK("https://pbs.twimg.com/profile_images/918161230459822080/4PdUflBB.jpg","View")</f>
        <v>View</v>
      </c>
    </row>
    <row r="2151" spans="1:21" ht="20.399999999999999">
      <c r="A2151" s="6">
        <v>43436.906111111108</v>
      </c>
      <c r="B2151" s="7" t="str">
        <f>HYPERLINK("https://twitter.com/lanuevaespana","@lanuevaespana")</f>
        <v>@lanuevaespana</v>
      </c>
      <c r="C2151" s="8" t="s">
        <v>2935</v>
      </c>
      <c r="D2151" s="9" t="s">
        <v>7384</v>
      </c>
      <c r="E2151" s="10" t="str">
        <f>HYPERLINK("https://twitter.com/lanuevaespana/status/1069331570853650433","1069331570853650433")</f>
        <v>1069331570853650433</v>
      </c>
      <c r="F2151" s="11" t="s">
        <v>7385</v>
      </c>
      <c r="G2151" s="12"/>
      <c r="H2151" s="12"/>
      <c r="I2151" s="13">
        <v>1</v>
      </c>
      <c r="J2151" s="13">
        <v>5</v>
      </c>
      <c r="K2151" s="14" t="str">
        <f t="shared" ref="K2151:K2155" si="384">HYPERLINK("http://twitter.com","Twitter Web Client")</f>
        <v>Twitter Web Client</v>
      </c>
      <c r="L2151" s="13">
        <v>147567</v>
      </c>
      <c r="M2151" s="13">
        <v>591</v>
      </c>
      <c r="N2151" s="13">
        <v>1692</v>
      </c>
      <c r="O2151" s="19" t="s">
        <v>44</v>
      </c>
      <c r="P2151" s="6">
        <v>39877.575312499997</v>
      </c>
      <c r="Q2151" s="16" t="s">
        <v>563</v>
      </c>
      <c r="R2151" s="17" t="s">
        <v>2937</v>
      </c>
      <c r="S2151" s="11" t="s">
        <v>2938</v>
      </c>
      <c r="T2151" s="12"/>
      <c r="U2151" s="10" t="str">
        <f>HYPERLINK("https://pbs.twimg.com/profile_images/1066977568388194304/2gM9vpYf.jpg","View")</f>
        <v>View</v>
      </c>
    </row>
    <row r="2152" spans="1:21" ht="30.6">
      <c r="A2152" s="6">
        <v>43436.90561342593</v>
      </c>
      <c r="B2152" s="7" t="str">
        <f>HYPERLINK("https://twitter.com/satiricas","@satiricas")</f>
        <v>@satiricas</v>
      </c>
      <c r="C2152" s="8" t="s">
        <v>7386</v>
      </c>
      <c r="D2152" s="9" t="s">
        <v>7387</v>
      </c>
      <c r="E2152" s="10" t="str">
        <f>HYPERLINK("https://twitter.com/satiricas/status/1069331389953249280","1069331389953249280")</f>
        <v>1069331389953249280</v>
      </c>
      <c r="F2152" s="11" t="s">
        <v>7388</v>
      </c>
      <c r="G2152" s="11" t="s">
        <v>7389</v>
      </c>
      <c r="H2152" s="12"/>
      <c r="I2152" s="13">
        <v>0</v>
      </c>
      <c r="J2152" s="13">
        <v>0</v>
      </c>
      <c r="K2152" s="14" t="str">
        <f t="shared" si="384"/>
        <v>Twitter Web Client</v>
      </c>
      <c r="L2152" s="13">
        <v>40</v>
      </c>
      <c r="M2152" s="13">
        <v>245</v>
      </c>
      <c r="N2152" s="13">
        <v>0</v>
      </c>
      <c r="O2152" s="15"/>
      <c r="P2152" s="6">
        <v>43400.600011574075</v>
      </c>
      <c r="Q2152" s="12"/>
      <c r="R2152" s="17" t="s">
        <v>7390</v>
      </c>
      <c r="S2152" s="11" t="s">
        <v>7391</v>
      </c>
      <c r="T2152" s="12"/>
      <c r="U2152" s="10" t="str">
        <f>HYPERLINK("https://pbs.twimg.com/profile_images/1062727523329626113/Mqxi4fme.jpg","View")</f>
        <v>View</v>
      </c>
    </row>
    <row r="2153" spans="1:21" ht="20.399999999999999">
      <c r="A2153" s="6">
        <v>43436.90247685185</v>
      </c>
      <c r="B2153" s="7" t="str">
        <f t="shared" ref="B2153:B2154" si="385">HYPERLINK("https://twitter.com/marcosrodp","@marcosrodp")</f>
        <v>@marcosrodp</v>
      </c>
      <c r="C2153" s="8" t="s">
        <v>7187</v>
      </c>
      <c r="D2153" s="9" t="s">
        <v>7392</v>
      </c>
      <c r="E2153" s="10" t="str">
        <f>HYPERLINK("https://twitter.com/marcosrodp/status/1069330256119648256","1069330256119648256")</f>
        <v>1069330256119648256</v>
      </c>
      <c r="F2153" s="11" t="s">
        <v>7393</v>
      </c>
      <c r="G2153" s="12"/>
      <c r="H2153" s="12"/>
      <c r="I2153" s="13">
        <v>0</v>
      </c>
      <c r="J2153" s="13">
        <v>1</v>
      </c>
      <c r="K2153" s="14" t="str">
        <f t="shared" si="384"/>
        <v>Twitter Web Client</v>
      </c>
      <c r="L2153" s="13">
        <v>602</v>
      </c>
      <c r="M2153" s="13">
        <v>1238</v>
      </c>
      <c r="N2153" s="13">
        <v>27</v>
      </c>
      <c r="O2153" s="15"/>
      <c r="P2153" s="6">
        <v>40616.048032407409</v>
      </c>
      <c r="Q2153" s="16" t="s">
        <v>170</v>
      </c>
      <c r="R2153" s="17" t="s">
        <v>7190</v>
      </c>
      <c r="S2153" s="12"/>
      <c r="T2153" s="12"/>
      <c r="U2153" s="10" t="str">
        <f t="shared" ref="U2153:U2154" si="386">HYPERLINK("https://pbs.twimg.com/profile_images/673020481444950016/8XvptbmU.jpg","View")</f>
        <v>View</v>
      </c>
    </row>
    <row r="2154" spans="1:21" ht="20.399999999999999">
      <c r="A2154" s="6">
        <v>43436.901770833334</v>
      </c>
      <c r="B2154" s="7" t="str">
        <f t="shared" si="385"/>
        <v>@marcosrodp</v>
      </c>
      <c r="C2154" s="8" t="s">
        <v>7187</v>
      </c>
      <c r="D2154" s="9" t="s">
        <v>7394</v>
      </c>
      <c r="E2154" s="10" t="str">
        <f>HYPERLINK("https://twitter.com/marcosrodp/status/1069329999243747328","1069329999243747328")</f>
        <v>1069329999243747328</v>
      </c>
      <c r="F2154" s="11" t="s">
        <v>7395</v>
      </c>
      <c r="G2154" s="12"/>
      <c r="H2154" s="12"/>
      <c r="I2154" s="13">
        <v>0</v>
      </c>
      <c r="J2154" s="13">
        <v>1</v>
      </c>
      <c r="K2154" s="14" t="str">
        <f t="shared" si="384"/>
        <v>Twitter Web Client</v>
      </c>
      <c r="L2154" s="13">
        <v>602</v>
      </c>
      <c r="M2154" s="13">
        <v>1238</v>
      </c>
      <c r="N2154" s="13">
        <v>27</v>
      </c>
      <c r="O2154" s="15"/>
      <c r="P2154" s="6">
        <v>40616.048032407409</v>
      </c>
      <c r="Q2154" s="16" t="s">
        <v>170</v>
      </c>
      <c r="R2154" s="17" t="s">
        <v>7190</v>
      </c>
      <c r="S2154" s="12"/>
      <c r="T2154" s="12"/>
      <c r="U2154" s="10" t="str">
        <f t="shared" si="386"/>
        <v>View</v>
      </c>
    </row>
    <row r="2155" spans="1:21" ht="30.6">
      <c r="A2155" s="6">
        <v>43436.901550925926</v>
      </c>
      <c r="B2155" s="7" t="str">
        <f>HYPERLINK("https://twitter.com/nonom","@nonom")</f>
        <v>@nonom</v>
      </c>
      <c r="C2155" s="8" t="s">
        <v>7396</v>
      </c>
      <c r="D2155" s="9" t="s">
        <v>7397</v>
      </c>
      <c r="E2155" s="10" t="str">
        <f>HYPERLINK("https://twitter.com/nonom/status/1069329920084664320","1069329920084664320")</f>
        <v>1069329920084664320</v>
      </c>
      <c r="F2155" s="12"/>
      <c r="G2155" s="12"/>
      <c r="H2155" s="12"/>
      <c r="I2155" s="13">
        <v>3</v>
      </c>
      <c r="J2155" s="13">
        <v>1</v>
      </c>
      <c r="K2155" s="14" t="str">
        <f t="shared" si="384"/>
        <v>Twitter Web Client</v>
      </c>
      <c r="L2155" s="13">
        <v>3038</v>
      </c>
      <c r="M2155" s="13">
        <v>2652</v>
      </c>
      <c r="N2155" s="13">
        <v>17</v>
      </c>
      <c r="O2155" s="15"/>
      <c r="P2155" s="6">
        <v>39779.424837962964</v>
      </c>
      <c r="Q2155" s="16" t="s">
        <v>7398</v>
      </c>
      <c r="R2155" s="17" t="s">
        <v>7399</v>
      </c>
      <c r="S2155" s="11" t="s">
        <v>7400</v>
      </c>
      <c r="T2155" s="12"/>
      <c r="U2155" s="10" t="str">
        <f>HYPERLINK("https://pbs.twimg.com/profile_images/1045267406921363456/I4Vu0OvP.jpg","View")</f>
        <v>View</v>
      </c>
    </row>
    <row r="2156" spans="1:21" ht="20.399999999999999">
      <c r="A2156" s="6">
        <v>43436.898692129631</v>
      </c>
      <c r="B2156" s="7" t="str">
        <f>HYPERLINK("https://twitter.com/CANDALIJA","@CANDALIJA")</f>
        <v>@CANDALIJA</v>
      </c>
      <c r="C2156" s="8" t="s">
        <v>7401</v>
      </c>
      <c r="D2156" s="9" t="s">
        <v>4669</v>
      </c>
      <c r="E2156" s="10" t="str">
        <f>HYPERLINK("https://twitter.com/CANDALIJA/status/1069328881772048384","1069328881772048384")</f>
        <v>1069328881772048384</v>
      </c>
      <c r="F2156" s="11" t="s">
        <v>4428</v>
      </c>
      <c r="G2156" s="12"/>
      <c r="H2156" s="12"/>
      <c r="I2156" s="13">
        <v>0</v>
      </c>
      <c r="J2156" s="13">
        <v>0</v>
      </c>
      <c r="K2156" s="14" t="str">
        <f>HYPERLINK("http://www.facebook.com/twitter","Facebook")</f>
        <v>Facebook</v>
      </c>
      <c r="L2156" s="13">
        <v>542</v>
      </c>
      <c r="M2156" s="13">
        <v>1628</v>
      </c>
      <c r="N2156" s="13">
        <v>7</v>
      </c>
      <c r="O2156" s="15"/>
      <c r="P2156" s="6">
        <v>40420.382916666669</v>
      </c>
      <c r="Q2156" s="16" t="s">
        <v>30</v>
      </c>
      <c r="R2156" s="17" t="s">
        <v>7402</v>
      </c>
      <c r="S2156" s="11" t="s">
        <v>7403</v>
      </c>
      <c r="T2156" s="12"/>
      <c r="U2156" s="10" t="str">
        <f>HYPERLINK("https://pbs.twimg.com/profile_images/888684649672830976/49nsvBZE.jpg","View")</f>
        <v>View</v>
      </c>
    </row>
    <row r="2157" spans="1:21" ht="40.799999999999997">
      <c r="A2157" s="6">
        <v>43436.898159722223</v>
      </c>
      <c r="B2157" s="7" t="str">
        <f>HYPERLINK("https://twitter.com/forbessalvxtore","@forbessalvxtore")</f>
        <v>@forbessalvxtore</v>
      </c>
      <c r="C2157" s="8" t="s">
        <v>7404</v>
      </c>
      <c r="D2157" s="9" t="s">
        <v>7405</v>
      </c>
      <c r="E2157" s="10" t="str">
        <f>HYPERLINK("https://twitter.com/forbessalvxtore/status/1069328689324806146","1069328689324806146")</f>
        <v>1069328689324806146</v>
      </c>
      <c r="F2157" s="12"/>
      <c r="G2157" s="12"/>
      <c r="H2157" s="12"/>
      <c r="I2157" s="13">
        <v>0</v>
      </c>
      <c r="J2157" s="13">
        <v>0</v>
      </c>
      <c r="K2157" s="14" t="str">
        <f>HYPERLINK("http://twitter.com/download/android","Twitter for Android")</f>
        <v>Twitter for Android</v>
      </c>
      <c r="L2157" s="13">
        <v>829</v>
      </c>
      <c r="M2157" s="13">
        <v>581</v>
      </c>
      <c r="N2157" s="13">
        <v>2</v>
      </c>
      <c r="O2157" s="15"/>
      <c r="P2157" s="6">
        <v>42959.914108796293</v>
      </c>
      <c r="Q2157" s="16" t="s">
        <v>7406</v>
      </c>
      <c r="R2157" s="17" t="s">
        <v>7407</v>
      </c>
      <c r="S2157" s="12"/>
      <c r="T2157" s="12"/>
      <c r="U2157" s="10" t="str">
        <f>HYPERLINK("https://pbs.twimg.com/profile_images/1069019207826923526/uK0IsqVg.jpg","View")</f>
        <v>View</v>
      </c>
    </row>
    <row r="2158" spans="1:21" ht="13.2">
      <c r="A2158" s="6">
        <v>43436.897581018522</v>
      </c>
      <c r="B2158" s="7" t="str">
        <f>HYPERLINK("https://twitter.com/ecorepublicano","@ecorepublicano")</f>
        <v>@ecorepublicano</v>
      </c>
      <c r="C2158" s="8" t="s">
        <v>4976</v>
      </c>
      <c r="D2158" s="9" t="s">
        <v>7408</v>
      </c>
      <c r="E2158" s="10" t="str">
        <f>HYPERLINK("https://twitter.com/ecorepublicano/status/1069328480817606662","1069328480817606662")</f>
        <v>1069328480817606662</v>
      </c>
      <c r="F2158" s="11" t="s">
        <v>7221</v>
      </c>
      <c r="G2158" s="11" t="s">
        <v>7409</v>
      </c>
      <c r="H2158" s="12"/>
      <c r="I2158" s="13">
        <v>7</v>
      </c>
      <c r="J2158" s="13">
        <v>17</v>
      </c>
      <c r="K2158" s="14" t="str">
        <f>HYPERLINK("http://twitter.com","Twitter Web Client")</f>
        <v>Twitter Web Client</v>
      </c>
      <c r="L2158" s="13">
        <v>175187</v>
      </c>
      <c r="M2158" s="13">
        <v>94805</v>
      </c>
      <c r="N2158" s="13">
        <v>848</v>
      </c>
      <c r="O2158" s="15"/>
      <c r="P2158" s="6">
        <v>40686.565243055556</v>
      </c>
      <c r="Q2158" s="16" t="s">
        <v>48</v>
      </c>
      <c r="R2158" s="17" t="s">
        <v>4978</v>
      </c>
      <c r="S2158" s="11" t="s">
        <v>4979</v>
      </c>
      <c r="T2158" s="12"/>
      <c r="U2158" s="10" t="str">
        <f>HYPERLINK("https://pbs.twimg.com/profile_images/1017891325029572608/lFqOkfFM.jpg","View")</f>
        <v>View</v>
      </c>
    </row>
    <row r="2159" spans="1:21" ht="40.799999999999997">
      <c r="A2159" s="6">
        <v>43436.897222222222</v>
      </c>
      <c r="B2159" s="7" t="str">
        <f>HYPERLINK("https://twitter.com/Sporeadri_MC","@Sporeadri_MC")</f>
        <v>@Sporeadri_MC</v>
      </c>
      <c r="C2159" s="8" t="s">
        <v>7410</v>
      </c>
      <c r="D2159" s="9" t="s">
        <v>7411</v>
      </c>
      <c r="E2159" s="10" t="str">
        <f>HYPERLINK("https://twitter.com/Sporeadri_MC/status/1069328349569392641","1069328349569392641")</f>
        <v>1069328349569392641</v>
      </c>
      <c r="F2159" s="11" t="s">
        <v>7412</v>
      </c>
      <c r="G2159" s="12"/>
      <c r="H2159" s="12"/>
      <c r="I2159" s="13">
        <v>0</v>
      </c>
      <c r="J2159" s="13">
        <v>0</v>
      </c>
      <c r="K2159" s="14" t="str">
        <f>HYPERLINK("http://twitter.com/download/android","Twitter for Android")</f>
        <v>Twitter for Android</v>
      </c>
      <c r="L2159" s="13">
        <v>226</v>
      </c>
      <c r="M2159" s="13">
        <v>610</v>
      </c>
      <c r="N2159" s="13">
        <v>8</v>
      </c>
      <c r="O2159" s="15"/>
      <c r="P2159" s="6">
        <v>40932.748229166667</v>
      </c>
      <c r="Q2159" s="16" t="s">
        <v>1079</v>
      </c>
      <c r="R2159" s="17" t="s">
        <v>7413</v>
      </c>
      <c r="S2159" s="11" t="s">
        <v>7414</v>
      </c>
      <c r="T2159" s="12"/>
      <c r="U2159" s="10" t="str">
        <f>HYPERLINK("https://pbs.twimg.com/profile_images/1045079792603865088/Qpvd5-XP.jpg","View")</f>
        <v>View</v>
      </c>
    </row>
    <row r="2160" spans="1:21" ht="40.799999999999997">
      <c r="A2160" s="6">
        <v>43436.895046296297</v>
      </c>
      <c r="B2160" s="7" t="str">
        <f>HYPERLINK("https://twitter.com/abcdesevilla","@abcdesevilla")</f>
        <v>@abcdesevilla</v>
      </c>
      <c r="C2160" s="8" t="s">
        <v>7415</v>
      </c>
      <c r="D2160" s="9" t="s">
        <v>7416</v>
      </c>
      <c r="E2160" s="10" t="str">
        <f>HYPERLINK("https://twitter.com/abcdesevilla/status/1069327563250634755","1069327563250634755")</f>
        <v>1069327563250634755</v>
      </c>
      <c r="F2160" s="11" t="s">
        <v>7417</v>
      </c>
      <c r="G2160" s="12"/>
      <c r="H2160" s="12"/>
      <c r="I2160" s="13">
        <v>1</v>
      </c>
      <c r="J2160" s="13">
        <v>0</v>
      </c>
      <c r="K2160" s="14" t="str">
        <f>HYPERLINK("https://www.hootsuite.com","Hootsuite Inc.")</f>
        <v>Hootsuite Inc.</v>
      </c>
      <c r="L2160" s="13">
        <v>184531</v>
      </c>
      <c r="M2160" s="13">
        <v>995</v>
      </c>
      <c r="N2160" s="13">
        <v>1587</v>
      </c>
      <c r="O2160" s="19" t="s">
        <v>44</v>
      </c>
      <c r="P2160" s="6">
        <v>39959.449374999997</v>
      </c>
      <c r="Q2160" s="16" t="s">
        <v>735</v>
      </c>
      <c r="R2160" s="17" t="s">
        <v>7418</v>
      </c>
      <c r="S2160" s="11" t="s">
        <v>7419</v>
      </c>
      <c r="T2160" s="12"/>
      <c r="U2160" s="10" t="str">
        <f>HYPERLINK("https://pbs.twimg.com/profile_images/909714989556092928/61PsKYSd.jpg","View")</f>
        <v>View</v>
      </c>
    </row>
    <row r="2161" spans="1:21" ht="61.2">
      <c r="A2161" s="6">
        <v>43436.894976851851</v>
      </c>
      <c r="B2161" s="7" t="str">
        <f>HYPERLINK("https://twitter.com/homopestis","@homopestis")</f>
        <v>@homopestis</v>
      </c>
      <c r="C2161" s="8" t="s">
        <v>7420</v>
      </c>
      <c r="D2161" s="9" t="s">
        <v>7421</v>
      </c>
      <c r="E2161" s="10" t="str">
        <f>HYPERLINK("https://twitter.com/homopestis/status/1069327537543802880","1069327537543802880")</f>
        <v>1069327537543802880</v>
      </c>
      <c r="F2161" s="16" t="s">
        <v>5546</v>
      </c>
      <c r="G2161" s="12"/>
      <c r="H2161" s="12"/>
      <c r="I2161" s="13">
        <v>0</v>
      </c>
      <c r="J2161" s="13">
        <v>0</v>
      </c>
      <c r="K2161" s="14" t="str">
        <f t="shared" ref="K2161:K2162" si="387">HYPERLINK("http://twitter.com/download/android","Twitter for Android")</f>
        <v>Twitter for Android</v>
      </c>
      <c r="L2161" s="13">
        <v>2871</v>
      </c>
      <c r="M2161" s="13">
        <v>2352</v>
      </c>
      <c r="N2161" s="13">
        <v>50</v>
      </c>
      <c r="O2161" s="15"/>
      <c r="P2161" s="6">
        <v>42226.016736111109</v>
      </c>
      <c r="Q2161" s="12"/>
      <c r="R2161" s="17" t="s">
        <v>7422</v>
      </c>
      <c r="S2161" s="12"/>
      <c r="T2161" s="12"/>
      <c r="U2161" s="10" t="str">
        <f>HYPERLINK("https://pbs.twimg.com/profile_images/783067202475950080/nRXMaToV.jpg","View")</f>
        <v>View</v>
      </c>
    </row>
    <row r="2162" spans="1:21" ht="30.6">
      <c r="A2162" s="6">
        <v>43436.89472222222</v>
      </c>
      <c r="B2162" s="7" t="str">
        <f>HYPERLINK("https://twitter.com/martaspatadas","@martaspatadas")</f>
        <v>@martaspatadas</v>
      </c>
      <c r="C2162" s="8" t="s">
        <v>7423</v>
      </c>
      <c r="D2162" s="9" t="s">
        <v>7424</v>
      </c>
      <c r="E2162" s="10" t="str">
        <f>HYPERLINK("https://twitter.com/martaspatadas/status/1069327444690251777","1069327444690251777")</f>
        <v>1069327444690251777</v>
      </c>
      <c r="F2162" s="11" t="s">
        <v>7425</v>
      </c>
      <c r="G2162" s="11" t="s">
        <v>7426</v>
      </c>
      <c r="H2162" s="12"/>
      <c r="I2162" s="13">
        <v>0</v>
      </c>
      <c r="J2162" s="13">
        <v>1</v>
      </c>
      <c r="K2162" s="14" t="str">
        <f t="shared" si="387"/>
        <v>Twitter for Android</v>
      </c>
      <c r="L2162" s="13">
        <v>196</v>
      </c>
      <c r="M2162" s="13">
        <v>114</v>
      </c>
      <c r="N2162" s="13">
        <v>1</v>
      </c>
      <c r="O2162" s="15"/>
      <c r="P2162" s="6">
        <v>43367.037164351852</v>
      </c>
      <c r="Q2162" s="12"/>
      <c r="R2162" s="17" t="s">
        <v>7427</v>
      </c>
      <c r="S2162" s="12"/>
      <c r="T2162" s="12"/>
      <c r="U2162" s="10" t="str">
        <f>HYPERLINK("https://pbs.twimg.com/profile_images/1069713956955140096/U8skpgSc.jpg","View")</f>
        <v>View</v>
      </c>
    </row>
    <row r="2163" spans="1:21" ht="20.399999999999999">
      <c r="A2163" s="6">
        <v>43436.894386574073</v>
      </c>
      <c r="B2163" s="7" t="str">
        <f>HYPERLINK("https://twitter.com/trendinaliaES","@trendinaliaES")</f>
        <v>@trendinaliaES</v>
      </c>
      <c r="C2163" s="8" t="s">
        <v>7034</v>
      </c>
      <c r="D2163" s="27" t="s">
        <v>7428</v>
      </c>
      <c r="E2163" s="10" t="str">
        <f>HYPERLINK("https://twitter.com/trendinaliaES/status/1069327321750880256","1069327321750880256")</f>
        <v>1069327321750880256</v>
      </c>
      <c r="F2163" s="11" t="s">
        <v>7036</v>
      </c>
      <c r="G2163" s="12"/>
      <c r="H2163" s="12" t="str">
        <f>HYPERLINK("https://ctrlq.org/maps/address/#40.4203,-3.7058","Map")</f>
        <v>Map</v>
      </c>
      <c r="I2163" s="13">
        <v>0</v>
      </c>
      <c r="J2163" s="13">
        <v>0</v>
      </c>
      <c r="K2163" s="14" t="str">
        <f>HYPERLINK("http://laconversa.com","Es Tendencia en España")</f>
        <v>Es Tendencia en España</v>
      </c>
      <c r="L2163" s="13">
        <v>49257</v>
      </c>
      <c r="M2163" s="13">
        <v>34</v>
      </c>
      <c r="N2163" s="13">
        <v>722</v>
      </c>
      <c r="O2163" s="19" t="s">
        <v>44</v>
      </c>
      <c r="P2163" s="6">
        <v>41319.819074074076</v>
      </c>
      <c r="Q2163" s="16" t="s">
        <v>48</v>
      </c>
      <c r="R2163" s="17" t="s">
        <v>7037</v>
      </c>
      <c r="S2163" s="11" t="s">
        <v>7038</v>
      </c>
      <c r="T2163" s="12"/>
      <c r="U2163" s="10" t="str">
        <f>HYPERLINK("https://pbs.twimg.com/profile_images/696485210821632000/xpdMQ_mE.png","View")</f>
        <v>View</v>
      </c>
    </row>
    <row r="2164" spans="1:21" ht="30.6">
      <c r="A2164" s="6">
        <v>43436.889976851853</v>
      </c>
      <c r="B2164" s="7" t="str">
        <f>HYPERLINK("https://twitter.com/los_replicantes","@los_replicantes")</f>
        <v>@los_replicantes</v>
      </c>
      <c r="C2164" s="8" t="s">
        <v>5527</v>
      </c>
      <c r="D2164" s="9" t="s">
        <v>7429</v>
      </c>
      <c r="E2164" s="10" t="str">
        <f>HYPERLINK("https://twitter.com/los_replicantes/status/1069325724715229185","1069325724715229185")</f>
        <v>1069325724715229185</v>
      </c>
      <c r="F2164" s="11" t="s">
        <v>5529</v>
      </c>
      <c r="G2164" s="11" t="s">
        <v>7430</v>
      </c>
      <c r="H2164" s="12"/>
      <c r="I2164" s="13">
        <v>0</v>
      </c>
      <c r="J2164" s="13">
        <v>0</v>
      </c>
      <c r="K2164" s="14" t="str">
        <f>HYPERLINK("https://about.twitter.com/products/tweetdeck","TweetDeck")</f>
        <v>TweetDeck</v>
      </c>
      <c r="L2164" s="13">
        <v>11882</v>
      </c>
      <c r="M2164" s="13">
        <v>271</v>
      </c>
      <c r="N2164" s="13">
        <v>223</v>
      </c>
      <c r="O2164" s="15"/>
      <c r="P2164" s="6">
        <v>40252.517604166671</v>
      </c>
      <c r="Q2164" s="12"/>
      <c r="R2164" s="17" t="s">
        <v>5531</v>
      </c>
      <c r="S2164" s="11" t="s">
        <v>5532</v>
      </c>
      <c r="T2164" s="12"/>
      <c r="U2164" s="10" t="str">
        <f>HYPERLINK("https://pbs.twimg.com/profile_images/1018872125698998272/CSELtZwH.jpg","View")</f>
        <v>View</v>
      </c>
    </row>
    <row r="2165" spans="1:21" ht="30.6">
      <c r="A2165" s="6">
        <v>43436.888506944444</v>
      </c>
      <c r="B2165" s="7" t="str">
        <f>HYPERLINK("https://twitter.com/5secsofmaloley","@5secsofmaloley")</f>
        <v>@5secsofmaloley</v>
      </c>
      <c r="C2165" s="8" t="s">
        <v>7431</v>
      </c>
      <c r="D2165" s="9" t="s">
        <v>7432</v>
      </c>
      <c r="E2165" s="10" t="str">
        <f>HYPERLINK("https://twitter.com/5secsofmaloley/status/1069325192713912320","1069325192713912320")</f>
        <v>1069325192713912320</v>
      </c>
      <c r="F2165" s="12"/>
      <c r="G2165" s="12"/>
      <c r="H2165" s="12"/>
      <c r="I2165" s="13">
        <v>0</v>
      </c>
      <c r="J2165" s="13">
        <v>0</v>
      </c>
      <c r="K2165" s="14" t="str">
        <f>HYPERLINK("http://twitter.com/download/iphone","Twitter for iPhone")</f>
        <v>Twitter for iPhone</v>
      </c>
      <c r="L2165" s="13">
        <v>993</v>
      </c>
      <c r="M2165" s="13">
        <v>759</v>
      </c>
      <c r="N2165" s="13">
        <v>6</v>
      </c>
      <c r="O2165" s="15"/>
      <c r="P2165" s="6">
        <v>41272.692789351851</v>
      </c>
      <c r="Q2165" s="16" t="s">
        <v>7433</v>
      </c>
      <c r="R2165" s="17" t="s">
        <v>7434</v>
      </c>
      <c r="S2165" s="11" t="s">
        <v>7435</v>
      </c>
      <c r="T2165" s="12"/>
      <c r="U2165" s="10" t="str">
        <f>HYPERLINK("https://pbs.twimg.com/profile_images/949037835734134784/v-fwlUIt.jpg","View")</f>
        <v>View</v>
      </c>
    </row>
    <row r="2166" spans="1:21" ht="51">
      <c r="A2166" s="6">
        <v>43436.883252314816</v>
      </c>
      <c r="B2166" s="7" t="str">
        <f>HYPERLINK("https://twitter.com/Jonatanlh","@Jonatanlh")</f>
        <v>@Jonatanlh</v>
      </c>
      <c r="C2166" s="8" t="s">
        <v>7436</v>
      </c>
      <c r="D2166" s="9" t="s">
        <v>7437</v>
      </c>
      <c r="E2166" s="10" t="str">
        <f>HYPERLINK("https://twitter.com/Jonatanlh/status/1069323286381768704","1069323286381768704")</f>
        <v>1069323286381768704</v>
      </c>
      <c r="F2166" s="12"/>
      <c r="G2166" s="12"/>
      <c r="H2166" s="12"/>
      <c r="I2166" s="13">
        <v>0</v>
      </c>
      <c r="J2166" s="13">
        <v>1</v>
      </c>
      <c r="K2166" s="14" t="str">
        <f>HYPERLINK("http://twitter.com/download/android","Twitter for Android")</f>
        <v>Twitter for Android</v>
      </c>
      <c r="L2166" s="13">
        <v>1670</v>
      </c>
      <c r="M2166" s="13">
        <v>1519</v>
      </c>
      <c r="N2166" s="13">
        <v>36</v>
      </c>
      <c r="O2166" s="15"/>
      <c r="P2166" s="6">
        <v>40266.079027777778</v>
      </c>
      <c r="Q2166" s="16" t="s">
        <v>7438</v>
      </c>
      <c r="R2166" s="17" t="s">
        <v>7439</v>
      </c>
      <c r="S2166" s="11" t="s">
        <v>7440</v>
      </c>
      <c r="T2166" s="12"/>
      <c r="U2166" s="10" t="str">
        <f>HYPERLINK("https://pbs.twimg.com/profile_images/782627799538565120/SU1NZRCe.jpg","View")</f>
        <v>View</v>
      </c>
    </row>
    <row r="2167" spans="1:21" ht="30.6">
      <c r="A2167" s="6">
        <v>43436.880798611106</v>
      </c>
      <c r="B2167" s="7" t="str">
        <f>HYPERLINK("https://twitter.com/_AnakinVader","@_AnakinVader")</f>
        <v>@_AnakinVader</v>
      </c>
      <c r="C2167" s="8" t="s">
        <v>7441</v>
      </c>
      <c r="D2167" s="9" t="s">
        <v>7442</v>
      </c>
      <c r="E2167" s="10" t="str">
        <f>HYPERLINK("https://twitter.com/_AnakinVader/status/1069322398997102594","1069322398997102594")</f>
        <v>1069322398997102594</v>
      </c>
      <c r="F2167" s="12"/>
      <c r="G2167" s="12"/>
      <c r="H2167" s="12"/>
      <c r="I2167" s="13">
        <v>3</v>
      </c>
      <c r="J2167" s="13">
        <v>4</v>
      </c>
      <c r="K2167" s="14" t="str">
        <f>HYPERLINK("http://twitter.com/download/iphone","Twitter for iPhone")</f>
        <v>Twitter for iPhone</v>
      </c>
      <c r="L2167" s="13">
        <v>3643</v>
      </c>
      <c r="M2167" s="13">
        <v>3225</v>
      </c>
      <c r="N2167" s="13">
        <v>16</v>
      </c>
      <c r="O2167" s="15"/>
      <c r="P2167" s="6">
        <v>42865.103576388894</v>
      </c>
      <c r="Q2167" s="16" t="s">
        <v>1130</v>
      </c>
      <c r="R2167" s="17" t="s">
        <v>7444</v>
      </c>
      <c r="S2167" s="12"/>
      <c r="T2167" s="12"/>
      <c r="U2167" s="10" t="str">
        <f>HYPERLINK("https://pbs.twimg.com/profile_images/862105829436260353/BO3ZBUjj.jpg","View")</f>
        <v>View</v>
      </c>
    </row>
    <row r="2168" spans="1:21" ht="61.2">
      <c r="A2168" s="6">
        <v>43436.872013888889</v>
      </c>
      <c r="B2168" s="7" t="str">
        <f>HYPERLINK("https://twitter.com/garciagarciaix","@garciagarciaix")</f>
        <v>@garciagarciaix</v>
      </c>
      <c r="C2168" s="8" t="s">
        <v>7446</v>
      </c>
      <c r="D2168" s="9" t="s">
        <v>7447</v>
      </c>
      <c r="E2168" s="10" t="str">
        <f>HYPERLINK("https://twitter.com/garciagarciaix/status/1069319213687496704","1069319213687496704")</f>
        <v>1069319213687496704</v>
      </c>
      <c r="F2168" s="12"/>
      <c r="G2168" s="12"/>
      <c r="H2168" s="12"/>
      <c r="I2168" s="13">
        <v>2182</v>
      </c>
      <c r="J2168" s="13">
        <v>4793</v>
      </c>
      <c r="K2168" s="14" t="str">
        <f>HYPERLINK("http://twitter.com/download/android","Twitter for Android")</f>
        <v>Twitter for Android</v>
      </c>
      <c r="L2168" s="13">
        <v>9274</v>
      </c>
      <c r="M2168" s="13">
        <v>6708</v>
      </c>
      <c r="N2168" s="13">
        <v>19</v>
      </c>
      <c r="O2168" s="15"/>
      <c r="P2168" s="6">
        <v>41091.478252314817</v>
      </c>
      <c r="Q2168" s="16" t="s">
        <v>7448</v>
      </c>
      <c r="R2168" s="17" t="s">
        <v>7449</v>
      </c>
      <c r="S2168" s="12"/>
      <c r="T2168" s="12"/>
      <c r="U2168" s="10" t="str">
        <f>HYPERLINK("https://pbs.twimg.com/profile_images/998485000528969728/lvI9rznF.jpg","View")</f>
        <v>View</v>
      </c>
    </row>
    <row r="2169" spans="1:21" ht="51">
      <c r="A2169" s="6">
        <v>43436.869467592594</v>
      </c>
      <c r="B2169" s="7" t="str">
        <f>HYPERLINK("https://twitter.com/OscarRecioColl","@OscarRecioColl")</f>
        <v>@OscarRecioColl</v>
      </c>
      <c r="C2169" s="8" t="s">
        <v>7450</v>
      </c>
      <c r="D2169" s="9" t="s">
        <v>7451</v>
      </c>
      <c r="E2169" s="10" t="str">
        <f>HYPERLINK("https://twitter.com/OscarRecioColl/status/1069318291930402816","1069318291930402816")</f>
        <v>1069318291930402816</v>
      </c>
      <c r="F2169" s="12"/>
      <c r="G2169" s="12"/>
      <c r="H2169" s="12"/>
      <c r="I2169" s="13">
        <v>0</v>
      </c>
      <c r="J2169" s="13">
        <v>12</v>
      </c>
      <c r="K2169" s="14" t="str">
        <f>HYPERLINK("https://mobile.twitter.com","Twitter Lite")</f>
        <v>Twitter Lite</v>
      </c>
      <c r="L2169" s="13">
        <v>7078</v>
      </c>
      <c r="M2169" s="13">
        <v>4921</v>
      </c>
      <c r="N2169" s="13">
        <v>239</v>
      </c>
      <c r="O2169" s="15"/>
      <c r="P2169" s="6">
        <v>41898.753738425927</v>
      </c>
      <c r="Q2169" s="11" t="s">
        <v>7452</v>
      </c>
      <c r="R2169" s="17" t="s">
        <v>7453</v>
      </c>
      <c r="S2169" s="11" t="s">
        <v>7454</v>
      </c>
      <c r="T2169" s="12"/>
      <c r="U2169" s="10" t="str">
        <f>HYPERLINK("https://pbs.twimg.com/profile_images/968574073935720454/Uo_Nb_YB.jpg","View")</f>
        <v>View</v>
      </c>
    </row>
    <row r="2170" spans="1:21" ht="71.400000000000006">
      <c r="A2170" s="6">
        <v>43436.86755787037</v>
      </c>
      <c r="B2170" s="7" t="str">
        <f>HYPERLINK("https://twitter.com/veganibalecter","@veganibalecter")</f>
        <v>@veganibalecter</v>
      </c>
      <c r="C2170" s="8" t="s">
        <v>7455</v>
      </c>
      <c r="D2170" s="9" t="s">
        <v>7456</v>
      </c>
      <c r="E2170" s="10" t="str">
        <f>HYPERLINK("https://twitter.com/veganibalecter/status/1069317599505383424","1069317599505383424")</f>
        <v>1069317599505383424</v>
      </c>
      <c r="F2170" s="16" t="s">
        <v>5546</v>
      </c>
      <c r="G2170" s="12"/>
      <c r="H2170" s="12"/>
      <c r="I2170" s="13">
        <v>0</v>
      </c>
      <c r="J2170" s="13">
        <v>0</v>
      </c>
      <c r="K2170" s="14" t="str">
        <f>HYPERLINK("http://twitter.com/download/android","Twitter for Android")</f>
        <v>Twitter for Android</v>
      </c>
      <c r="L2170" s="13">
        <v>484</v>
      </c>
      <c r="M2170" s="13">
        <v>1334</v>
      </c>
      <c r="N2170" s="13">
        <v>2</v>
      </c>
      <c r="O2170" s="15"/>
      <c r="P2170" s="6">
        <v>41984.126168981486</v>
      </c>
      <c r="Q2170" s="16" t="s">
        <v>7457</v>
      </c>
      <c r="R2170" s="17" t="s">
        <v>7458</v>
      </c>
      <c r="S2170" s="12"/>
      <c r="T2170" s="12"/>
      <c r="U2170" s="10" t="str">
        <f>HYPERLINK("https://pbs.twimg.com/profile_images/787262312604393472/UPWxPlYW.jpg","View")</f>
        <v>View</v>
      </c>
    </row>
    <row r="2171" spans="1:21" ht="51">
      <c r="A2171" s="6">
        <v>43436.865636574075</v>
      </c>
      <c r="B2171" s="7" t="str">
        <f>HYPERLINK("https://twitter.com/eclementen","@eclementen")</f>
        <v>@eclementen</v>
      </c>
      <c r="C2171" s="8" t="s">
        <v>345</v>
      </c>
      <c r="D2171" s="9" t="s">
        <v>7459</v>
      </c>
      <c r="E2171" s="10" t="str">
        <f>HYPERLINK("https://twitter.com/eclementen/status/1069316905540964352","1069316905540964352")</f>
        <v>1069316905540964352</v>
      </c>
      <c r="F2171" s="12"/>
      <c r="G2171" s="12"/>
      <c r="H2171" s="12"/>
      <c r="I2171" s="13">
        <v>2</v>
      </c>
      <c r="J2171" s="13">
        <v>2</v>
      </c>
      <c r="K2171" s="14" t="str">
        <f>HYPERLINK("http://twitter.com/download/iphone","Twitter for iPhone")</f>
        <v>Twitter for iPhone</v>
      </c>
      <c r="L2171" s="13">
        <v>2211</v>
      </c>
      <c r="M2171" s="13">
        <v>849</v>
      </c>
      <c r="N2171" s="13">
        <v>67</v>
      </c>
      <c r="O2171" s="15"/>
      <c r="P2171" s="6">
        <v>40833.776261574072</v>
      </c>
      <c r="Q2171" s="12"/>
      <c r="R2171" s="17" t="s">
        <v>347</v>
      </c>
      <c r="S2171" s="12"/>
      <c r="T2171" s="12"/>
      <c r="U2171" s="10" t="str">
        <f>HYPERLINK("https://pbs.twimg.com/profile_images/1026496915016507394/PchQaO9K.jpg","View")</f>
        <v>View</v>
      </c>
    </row>
    <row r="2172" spans="1:21" ht="30.6">
      <c r="A2172" s="6">
        <v>43436.863819444443</v>
      </c>
      <c r="B2172" s="7" t="str">
        <f>HYPERLINK("https://twitter.com/arturoarenas10","@arturoarenas10")</f>
        <v>@arturoarenas10</v>
      </c>
      <c r="C2172" s="8" t="s">
        <v>7460</v>
      </c>
      <c r="D2172" s="9" t="s">
        <v>7461</v>
      </c>
      <c r="E2172" s="10" t="str">
        <f>HYPERLINK("https://twitter.com/arturoarenas10/status/1069316244178903042","1069316244178903042")</f>
        <v>1069316244178903042</v>
      </c>
      <c r="F2172" s="12"/>
      <c r="G2172" s="12"/>
      <c r="H2172" s="12"/>
      <c r="I2172" s="13">
        <v>0</v>
      </c>
      <c r="J2172" s="13">
        <v>0</v>
      </c>
      <c r="K2172" s="14" t="str">
        <f>HYPERLINK("http://twitter.com/download/android","Twitter for Android")</f>
        <v>Twitter for Android</v>
      </c>
      <c r="L2172" s="13">
        <v>329</v>
      </c>
      <c r="M2172" s="13">
        <v>722</v>
      </c>
      <c r="N2172" s="13">
        <v>2</v>
      </c>
      <c r="O2172" s="15"/>
      <c r="P2172" s="6">
        <v>40529.450694444444</v>
      </c>
      <c r="Q2172" s="16" t="s">
        <v>7462</v>
      </c>
      <c r="R2172" s="20"/>
      <c r="S2172" s="12"/>
      <c r="T2172" s="12"/>
      <c r="U2172" s="10" t="str">
        <f>HYPERLINK("https://pbs.twimg.com/profile_images/957206945802448897/N-AwIjdt.jpg","View")</f>
        <v>View</v>
      </c>
    </row>
    <row r="2173" spans="1:21" ht="20.399999999999999">
      <c r="A2173" s="6">
        <v>43436.863587962958</v>
      </c>
      <c r="B2173" s="7" t="str">
        <f>HYPERLINK("https://twitter.com/anacabs","@anacabs")</f>
        <v>@anacabs</v>
      </c>
      <c r="C2173" s="8" t="s">
        <v>5202</v>
      </c>
      <c r="D2173" s="9" t="s">
        <v>7463</v>
      </c>
      <c r="E2173" s="10" t="str">
        <f>HYPERLINK("https://twitter.com/anacabs/status/1069316162268352512","1069316162268352512")</f>
        <v>1069316162268352512</v>
      </c>
      <c r="F2173" s="12"/>
      <c r="G2173" s="12"/>
      <c r="H2173" s="12"/>
      <c r="I2173" s="13">
        <v>1</v>
      </c>
      <c r="J2173" s="13">
        <v>3</v>
      </c>
      <c r="K2173" s="14" t="str">
        <f>HYPERLINK("http://twitter.com","Twitter Web Client")</f>
        <v>Twitter Web Client</v>
      </c>
      <c r="L2173" s="13">
        <v>2193</v>
      </c>
      <c r="M2173" s="13">
        <v>1061</v>
      </c>
      <c r="N2173" s="13">
        <v>71</v>
      </c>
      <c r="O2173" s="15"/>
      <c r="P2173" s="6">
        <v>40138.901018518518</v>
      </c>
      <c r="Q2173" s="16" t="s">
        <v>5205</v>
      </c>
      <c r="R2173" s="17" t="s">
        <v>5206</v>
      </c>
      <c r="S2173" s="12"/>
      <c r="T2173" s="12"/>
      <c r="U2173" s="10" t="str">
        <f>HYPERLINK("https://pbs.twimg.com/profile_images/822468188030042113/AV3JwKrO.jpg","View")</f>
        <v>View</v>
      </c>
    </row>
    <row r="2174" spans="1:21" ht="30.6">
      <c r="A2174" s="6">
        <v>43436.859432870369</v>
      </c>
      <c r="B2174" s="7" t="str">
        <f>HYPERLINK("https://twitter.com/jorgepravia","@jorgepravia")</f>
        <v>@jorgepravia</v>
      </c>
      <c r="C2174" s="8" t="s">
        <v>7464</v>
      </c>
      <c r="D2174" s="9" t="s">
        <v>7465</v>
      </c>
      <c r="E2174" s="10" t="str">
        <f>HYPERLINK("https://twitter.com/jorgepravia/status/1069314656349683713","1069314656349683713")</f>
        <v>1069314656349683713</v>
      </c>
      <c r="F2174" s="12"/>
      <c r="G2174" s="12"/>
      <c r="H2174" s="12"/>
      <c r="I2174" s="13">
        <v>5</v>
      </c>
      <c r="J2174" s="13">
        <v>15</v>
      </c>
      <c r="K2174" s="14" t="str">
        <f>HYPERLINK("http://twitter.com/download/android","Twitter for Android")</f>
        <v>Twitter for Android</v>
      </c>
      <c r="L2174" s="13">
        <v>5239</v>
      </c>
      <c r="M2174" s="13">
        <v>4714</v>
      </c>
      <c r="N2174" s="13">
        <v>44</v>
      </c>
      <c r="O2174" s="15"/>
      <c r="P2174" s="6">
        <v>40837.646643518521</v>
      </c>
      <c r="Q2174" s="16" t="s">
        <v>1624</v>
      </c>
      <c r="R2174" s="17" t="s">
        <v>7466</v>
      </c>
      <c r="S2174" s="12"/>
      <c r="T2174" s="12"/>
      <c r="U2174" s="10" t="str">
        <f>HYPERLINK("https://pbs.twimg.com/profile_images/540581874859388928/We8fm4ao.jpeg","View")</f>
        <v>View</v>
      </c>
    </row>
    <row r="2175" spans="1:21" ht="30.6">
      <c r="A2175" s="6">
        <v>43436.855821759258</v>
      </c>
      <c r="B2175" s="7" t="str">
        <f>HYPERLINK("https://twitter.com/Ferminalv","@Ferminalv")</f>
        <v>@Ferminalv</v>
      </c>
      <c r="C2175" s="8" t="s">
        <v>7467</v>
      </c>
      <c r="D2175" s="9" t="s">
        <v>7468</v>
      </c>
      <c r="E2175" s="10" t="str">
        <f>HYPERLINK("https://twitter.com/Ferminalv/status/1069313346879528960","1069313346879528960")</f>
        <v>1069313346879528960</v>
      </c>
      <c r="F2175" s="12"/>
      <c r="G2175" s="11" t="s">
        <v>7469</v>
      </c>
      <c r="H2175" s="12"/>
      <c r="I2175" s="13">
        <v>1</v>
      </c>
      <c r="J2175" s="13">
        <v>3</v>
      </c>
      <c r="K2175" s="14" t="str">
        <f>HYPERLINK("http://twitter.com/download/iphone","Twitter for iPhone")</f>
        <v>Twitter for iPhone</v>
      </c>
      <c r="L2175" s="13">
        <v>6928</v>
      </c>
      <c r="M2175" s="13">
        <v>6408</v>
      </c>
      <c r="N2175" s="13">
        <v>55</v>
      </c>
      <c r="O2175" s="15"/>
      <c r="P2175" s="6">
        <v>40467.876458333332</v>
      </c>
      <c r="Q2175" s="12"/>
      <c r="R2175" s="17" t="s">
        <v>7470</v>
      </c>
      <c r="S2175" s="11" t="s">
        <v>7471</v>
      </c>
      <c r="T2175" s="12"/>
      <c r="U2175" s="10" t="str">
        <f>HYPERLINK("https://pbs.twimg.com/profile_images/1071170791201521664/5ZK_T0LZ.jpg","View")</f>
        <v>View</v>
      </c>
    </row>
    <row r="2176" spans="1:21" ht="40.799999999999997">
      <c r="A2176" s="6">
        <v>43436.854270833333</v>
      </c>
      <c r="B2176" s="7" t="str">
        <f>HYPERLINK("https://twitter.com/lextresabogados","@lextresabogados")</f>
        <v>@lextresabogados</v>
      </c>
      <c r="C2176" s="8" t="s">
        <v>1379</v>
      </c>
      <c r="D2176" s="9" t="s">
        <v>7472</v>
      </c>
      <c r="E2176" s="10" t="str">
        <f>HYPERLINK("https://twitter.com/lextresabogados/status/1069312785908142081","1069312785908142081")</f>
        <v>1069312785908142081</v>
      </c>
      <c r="F2176" s="11" t="s">
        <v>7473</v>
      </c>
      <c r="G2176" s="12"/>
      <c r="H2176" s="12"/>
      <c r="I2176" s="13">
        <v>1</v>
      </c>
      <c r="J2176" s="13">
        <v>0</v>
      </c>
      <c r="K2176" s="14" t="str">
        <f>HYPERLINK("http://35.180.36.179","botize nueva")</f>
        <v>botize nueva</v>
      </c>
      <c r="L2176" s="13">
        <v>2912</v>
      </c>
      <c r="M2176" s="13">
        <v>3525</v>
      </c>
      <c r="N2176" s="13">
        <v>26</v>
      </c>
      <c r="O2176" s="15"/>
      <c r="P2176" s="6">
        <v>42880.770949074074</v>
      </c>
      <c r="Q2176" s="16" t="s">
        <v>1130</v>
      </c>
      <c r="R2176" s="17" t="s">
        <v>1383</v>
      </c>
      <c r="S2176" s="11" t="s">
        <v>1384</v>
      </c>
      <c r="T2176" s="12"/>
      <c r="U2176" s="10" t="str">
        <f>HYPERLINK("https://pbs.twimg.com/profile_images/1068056978679898113/YnjKwiVy.jpg","View")</f>
        <v>View</v>
      </c>
    </row>
    <row r="2177" spans="1:21" ht="20.399999999999999">
      <c r="A2177" s="6">
        <v>43436.853761574079</v>
      </c>
      <c r="B2177" s="7" t="str">
        <f>HYPERLINK("https://twitter.com/carmenx00","@carmenx00")</f>
        <v>@carmenx00</v>
      </c>
      <c r="C2177" s="8" t="s">
        <v>7474</v>
      </c>
      <c r="D2177" s="9" t="s">
        <v>7475</v>
      </c>
      <c r="E2177" s="10" t="str">
        <f>HYPERLINK("https://twitter.com/carmenx00/status/1069312599261618179","1069312599261618179")</f>
        <v>1069312599261618179</v>
      </c>
      <c r="F2177" s="12"/>
      <c r="G2177" s="12"/>
      <c r="H2177" s="12"/>
      <c r="I2177" s="13">
        <v>0</v>
      </c>
      <c r="J2177" s="13">
        <v>1</v>
      </c>
      <c r="K2177" s="14" t="str">
        <f>HYPERLINK("http://twitter.com/download/iphone","Twitter for iPhone")</f>
        <v>Twitter for iPhone</v>
      </c>
      <c r="L2177" s="13">
        <v>104</v>
      </c>
      <c r="M2177" s="13">
        <v>120</v>
      </c>
      <c r="N2177" s="13">
        <v>0</v>
      </c>
      <c r="O2177" s="15"/>
      <c r="P2177" s="6">
        <v>43399.447604166664</v>
      </c>
      <c r="Q2177" s="12"/>
      <c r="R2177" s="17" t="s">
        <v>7476</v>
      </c>
      <c r="S2177" s="12"/>
      <c r="T2177" s="12"/>
      <c r="U2177" s="10" t="str">
        <f>HYPERLINK("https://pbs.twimg.com/profile_images/1058144600366477312/tZScpOFU.jpg","View")</f>
        <v>View</v>
      </c>
    </row>
    <row r="2178" spans="1:21" ht="20.399999999999999">
      <c r="A2178" s="6">
        <v>43436.852083333331</v>
      </c>
      <c r="B2178" s="7" t="str">
        <f>HYPERLINK("https://twitter.com/elconfidencial","@elconfidencial")</f>
        <v>@elconfidencial</v>
      </c>
      <c r="C2178" s="8" t="s">
        <v>3993</v>
      </c>
      <c r="D2178" s="9" t="s">
        <v>7472</v>
      </c>
      <c r="E2178" s="10" t="str">
        <f>HYPERLINK("https://twitter.com/elconfidencial/status/1069311992098361344","1069311992098361344")</f>
        <v>1069311992098361344</v>
      </c>
      <c r="F2178" s="11" t="s">
        <v>7473</v>
      </c>
      <c r="G2178" s="12"/>
      <c r="H2178" s="12"/>
      <c r="I2178" s="13">
        <v>3</v>
      </c>
      <c r="J2178" s="13">
        <v>0</v>
      </c>
      <c r="K2178" s="14" t="str">
        <f>HYPERLINK("https://about.twitter.com/products/tweetdeck","TweetDeck")</f>
        <v>TweetDeck</v>
      </c>
      <c r="L2178" s="13">
        <v>765913</v>
      </c>
      <c r="M2178" s="13">
        <v>183</v>
      </c>
      <c r="N2178" s="13">
        <v>11126</v>
      </c>
      <c r="O2178" s="19" t="s">
        <v>44</v>
      </c>
      <c r="P2178" s="6">
        <v>39759.468657407408</v>
      </c>
      <c r="Q2178" s="16" t="s">
        <v>3994</v>
      </c>
      <c r="R2178" s="17" t="s">
        <v>3995</v>
      </c>
      <c r="S2178" s="11" t="s">
        <v>3996</v>
      </c>
      <c r="T2178" s="12"/>
      <c r="U2178" s="10" t="str">
        <f>HYPERLINK("https://pbs.twimg.com/profile_images/831498645476356097/TVsVGq4W.jpg","View")</f>
        <v>View</v>
      </c>
    </row>
    <row r="2179" spans="1:21" ht="51">
      <c r="A2179" s="6">
        <v>43436.846701388888</v>
      </c>
      <c r="B2179" s="7" t="str">
        <f>HYPERLINK("https://twitter.com/juancuber","@juancuber")</f>
        <v>@juancuber</v>
      </c>
      <c r="C2179" s="8" t="s">
        <v>7477</v>
      </c>
      <c r="D2179" s="9" t="s">
        <v>7478</v>
      </c>
      <c r="E2179" s="10" t="str">
        <f>HYPERLINK("https://twitter.com/juancuber/status/1069310043672248320","1069310043672248320")</f>
        <v>1069310043672248320</v>
      </c>
      <c r="F2179" s="16" t="s">
        <v>7479</v>
      </c>
      <c r="G2179" s="11" t="s">
        <v>7480</v>
      </c>
      <c r="H2179" s="12"/>
      <c r="I2179" s="13">
        <v>3</v>
      </c>
      <c r="J2179" s="13">
        <v>0</v>
      </c>
      <c r="K2179" s="14" t="str">
        <f t="shared" ref="K2179:K2180" si="388">HYPERLINK("http://twitter.com/download/android","Twitter for Android")</f>
        <v>Twitter for Android</v>
      </c>
      <c r="L2179" s="13">
        <v>143</v>
      </c>
      <c r="M2179" s="13">
        <v>458</v>
      </c>
      <c r="N2179" s="13">
        <v>2</v>
      </c>
      <c r="O2179" s="15"/>
      <c r="P2179" s="6">
        <v>41552.639374999999</v>
      </c>
      <c r="Q2179" s="16" t="s">
        <v>795</v>
      </c>
      <c r="R2179" s="17" t="s">
        <v>7481</v>
      </c>
      <c r="S2179" s="12"/>
      <c r="T2179" s="12"/>
      <c r="U2179" s="10" t="str">
        <f>HYPERLINK("https://pbs.twimg.com/profile_images/949001719505129472/8oombVqD.jpg","View")</f>
        <v>View</v>
      </c>
    </row>
    <row r="2180" spans="1:21" ht="40.799999999999997">
      <c r="A2180" s="6">
        <v>43436.846620370372</v>
      </c>
      <c r="B2180" s="7" t="str">
        <f>HYPERLINK("https://twitter.com/CCompteSFSA","@CCompteSFSA")</f>
        <v>@CCompteSFSA</v>
      </c>
      <c r="C2180" s="8" t="s">
        <v>7482</v>
      </c>
      <c r="D2180" s="9" t="s">
        <v>7483</v>
      </c>
      <c r="E2180" s="10" t="str">
        <f>HYPERLINK("https://twitter.com/CCompteSFSA/status/1069310014656036865","1069310014656036865")</f>
        <v>1069310014656036865</v>
      </c>
      <c r="F2180" s="12"/>
      <c r="G2180" s="12"/>
      <c r="H2180" s="12"/>
      <c r="I2180" s="13">
        <v>0</v>
      </c>
      <c r="J2180" s="13">
        <v>0</v>
      </c>
      <c r="K2180" s="14" t="str">
        <f t="shared" si="388"/>
        <v>Twitter for Android</v>
      </c>
      <c r="L2180" s="13">
        <v>138</v>
      </c>
      <c r="M2180" s="13">
        <v>289</v>
      </c>
      <c r="N2180" s="13">
        <v>1</v>
      </c>
      <c r="O2180" s="15"/>
      <c r="P2180" s="6">
        <v>40759.997187499997</v>
      </c>
      <c r="Q2180" s="16" t="s">
        <v>7484</v>
      </c>
      <c r="R2180" s="17" t="s">
        <v>7485</v>
      </c>
      <c r="S2180" s="12"/>
      <c r="T2180" s="12"/>
      <c r="U2180" s="10" t="str">
        <f>HYPERLINK("https://pbs.twimg.com/profile_images/920771327312781312/h6DeHUOx.jpg","View")</f>
        <v>View</v>
      </c>
    </row>
    <row r="2181" spans="1:21" ht="40.799999999999997">
      <c r="A2181" s="6">
        <v>43436.841099537036</v>
      </c>
      <c r="B2181" s="7" t="str">
        <f>HYPERLINK("https://twitter.com/Geertxu","@Geertxu")</f>
        <v>@Geertxu</v>
      </c>
      <c r="C2181" s="8" t="s">
        <v>3684</v>
      </c>
      <c r="D2181" s="9" t="s">
        <v>7486</v>
      </c>
      <c r="E2181" s="10" t="str">
        <f>HYPERLINK("https://twitter.com/Geertxu/status/1069308013708787714","1069308013708787714")</f>
        <v>1069308013708787714</v>
      </c>
      <c r="F2181" s="12"/>
      <c r="G2181" s="11" t="s">
        <v>7487</v>
      </c>
      <c r="H2181" s="12"/>
      <c r="I2181" s="13">
        <v>2</v>
      </c>
      <c r="J2181" s="13">
        <v>2</v>
      </c>
      <c r="K2181" s="14" t="str">
        <f>HYPERLINK("http://twitter.com/download/iphone","Twitter for iPhone")</f>
        <v>Twitter for iPhone</v>
      </c>
      <c r="L2181" s="13">
        <v>2928</v>
      </c>
      <c r="M2181" s="13">
        <v>998</v>
      </c>
      <c r="N2181" s="13">
        <v>45</v>
      </c>
      <c r="O2181" s="15"/>
      <c r="P2181" s="6">
        <v>40612.667673611111</v>
      </c>
      <c r="Q2181" s="16" t="s">
        <v>3687</v>
      </c>
      <c r="R2181" s="17" t="s">
        <v>3688</v>
      </c>
      <c r="S2181" s="12"/>
      <c r="T2181" s="12"/>
      <c r="U2181" s="10" t="str">
        <f>HYPERLINK("https://pbs.twimg.com/profile_images/1050871193451094021/VjkUgdJO.jpg","View")</f>
        <v>View</v>
      </c>
    </row>
    <row r="2182" spans="1:21" ht="91.8">
      <c r="A2182" s="6">
        <v>43436.835173611107</v>
      </c>
      <c r="B2182" s="7" t="str">
        <f>HYPERLINK("https://twitter.com/ElSaltoDiario","@ElSaltoDiario")</f>
        <v>@ElSaltoDiario</v>
      </c>
      <c r="C2182" s="8" t="s">
        <v>7488</v>
      </c>
      <c r="D2182" s="9" t="s">
        <v>7489</v>
      </c>
      <c r="E2182" s="10" t="str">
        <f>HYPERLINK("https://twitter.com/ElSaltoDiario/status/1069305865772179461","1069305865772179461")</f>
        <v>1069305865772179461</v>
      </c>
      <c r="F2182" s="16" t="s">
        <v>7490</v>
      </c>
      <c r="G2182" s="11" t="s">
        <v>7491</v>
      </c>
      <c r="H2182" s="12"/>
      <c r="I2182" s="13">
        <v>14</v>
      </c>
      <c r="J2182" s="13">
        <v>3</v>
      </c>
      <c r="K2182" s="14" t="str">
        <f t="shared" ref="K2182:K2183" si="389">HYPERLINK("http://twitter.com","Twitter Web Client")</f>
        <v>Twitter Web Client</v>
      </c>
      <c r="L2182" s="13">
        <v>130702</v>
      </c>
      <c r="M2182" s="13">
        <v>2123</v>
      </c>
      <c r="N2182" s="13">
        <v>3528</v>
      </c>
      <c r="O2182" s="15"/>
      <c r="P2182" s="6">
        <v>40134.942962962959</v>
      </c>
      <c r="Q2182" s="12"/>
      <c r="R2182" s="17" t="s">
        <v>7493</v>
      </c>
      <c r="S2182" s="11" t="s">
        <v>7494</v>
      </c>
      <c r="T2182" s="12"/>
      <c r="U2182" s="10" t="str">
        <f>HYPERLINK("https://pbs.twimg.com/profile_images/1013736890565095424/1EdgvW6k.jpg","View")</f>
        <v>View</v>
      </c>
    </row>
    <row r="2183" spans="1:21" ht="20.399999999999999">
      <c r="A2183" s="6">
        <v>43436.827199074076</v>
      </c>
      <c r="B2183" s="7" t="str">
        <f>HYPERLINK("https://twitter.com/maipeleal","@maipeleal")</f>
        <v>@maipeleal</v>
      </c>
      <c r="C2183" s="8" t="s">
        <v>7495</v>
      </c>
      <c r="D2183" s="9" t="s">
        <v>7496</v>
      </c>
      <c r="E2183" s="10" t="str">
        <f>HYPERLINK("https://twitter.com/maipeleal/status/1069302976437780481","1069302976437780481")</f>
        <v>1069302976437780481</v>
      </c>
      <c r="F2183" s="11" t="s">
        <v>7497</v>
      </c>
      <c r="G2183" s="12"/>
      <c r="H2183" s="12"/>
      <c r="I2183" s="13">
        <v>0</v>
      </c>
      <c r="J2183" s="13">
        <v>0</v>
      </c>
      <c r="K2183" s="14" t="str">
        <f t="shared" si="389"/>
        <v>Twitter Web Client</v>
      </c>
      <c r="L2183" s="13">
        <v>569</v>
      </c>
      <c r="M2183" s="13">
        <v>1062</v>
      </c>
      <c r="N2183" s="13">
        <v>3</v>
      </c>
      <c r="O2183" s="15"/>
      <c r="P2183" s="6">
        <v>41149.91065972222</v>
      </c>
      <c r="Q2183" s="12"/>
      <c r="R2183" s="17" t="s">
        <v>7498</v>
      </c>
      <c r="S2183" s="12"/>
      <c r="T2183" s="12"/>
      <c r="U2183" s="10" t="str">
        <f>HYPERLINK("https://pbs.twimg.com/profile_images/2553364600/20120820_231649.jpg","View")</f>
        <v>View</v>
      </c>
    </row>
    <row r="2184" spans="1:21" ht="51">
      <c r="A2184" s="6">
        <v>43436.81631944445</v>
      </c>
      <c r="B2184" s="7" t="str">
        <f>HYPERLINK("https://twitter.com/V_has_come_to_0","@V_has_come_to_0")</f>
        <v>@V_has_come_to_0</v>
      </c>
      <c r="C2184" s="8" t="s">
        <v>7499</v>
      </c>
      <c r="D2184" s="9" t="s">
        <v>7500</v>
      </c>
      <c r="E2184" s="10" t="str">
        <f>HYPERLINK("https://twitter.com/V_has_come_to_0/status/1069299033234186240","1069299033234186240")</f>
        <v>1069299033234186240</v>
      </c>
      <c r="F2184" s="12"/>
      <c r="G2184" s="12"/>
      <c r="H2184" s="12"/>
      <c r="I2184" s="13">
        <v>0</v>
      </c>
      <c r="J2184" s="13">
        <v>0</v>
      </c>
      <c r="K2184" s="14" t="str">
        <f>HYPERLINK("http://twitter.com/download/android","Twitter for Android")</f>
        <v>Twitter for Android</v>
      </c>
      <c r="L2184" s="13">
        <v>407</v>
      </c>
      <c r="M2184" s="13">
        <v>976</v>
      </c>
      <c r="N2184" s="13">
        <v>7</v>
      </c>
      <c r="O2184" s="15"/>
      <c r="P2184" s="6">
        <v>40975.91611111111</v>
      </c>
      <c r="Q2184" s="12"/>
      <c r="R2184" s="17" t="s">
        <v>7501</v>
      </c>
      <c r="S2184" s="12"/>
      <c r="T2184" s="12"/>
      <c r="U2184" s="10" t="str">
        <f>HYPERLINK("https://pbs.twimg.com/profile_images/2101738008/Imagen26.jpg","View")</f>
        <v>View</v>
      </c>
    </row>
    <row r="2185" spans="1:21" ht="40.799999999999997">
      <c r="A2185" s="6">
        <v>43436.811192129629</v>
      </c>
      <c r="B2185" s="7" t="str">
        <f>HYPERLINK("https://twitter.com/cartujano57gil","@cartujano57gil")</f>
        <v>@cartujano57gil</v>
      </c>
      <c r="C2185" s="8" t="s">
        <v>797</v>
      </c>
      <c r="D2185" s="9" t="s">
        <v>3949</v>
      </c>
      <c r="E2185" s="10" t="str">
        <f>HYPERLINK("https://twitter.com/cartujano57gil/status/1069297174503145473","1069297174503145473")</f>
        <v>1069297174503145473</v>
      </c>
      <c r="F2185" s="11" t="s">
        <v>3950</v>
      </c>
      <c r="G2185" s="12"/>
      <c r="H2185" s="12"/>
      <c r="I2185" s="13">
        <v>0</v>
      </c>
      <c r="J2185" s="13">
        <v>0</v>
      </c>
      <c r="K2185" s="14" t="str">
        <f t="shared" ref="K2185:K2187" si="390">HYPERLINK("http://www.facebook.com/twitter","Facebook")</f>
        <v>Facebook</v>
      </c>
      <c r="L2185" s="13">
        <v>104</v>
      </c>
      <c r="M2185" s="13">
        <v>304</v>
      </c>
      <c r="N2185" s="13">
        <v>3</v>
      </c>
      <c r="O2185" s="15"/>
      <c r="P2185" s="6">
        <v>42607.894965277781</v>
      </c>
      <c r="Q2185" s="16" t="s">
        <v>798</v>
      </c>
      <c r="R2185" s="17" t="s">
        <v>799</v>
      </c>
      <c r="S2185" s="12"/>
      <c r="T2185" s="12"/>
      <c r="U2185" s="10" t="str">
        <f>HYPERLINK("https://pbs.twimg.com/profile_images/769984638903255044/f-AxsW4K.jpg","View")</f>
        <v>View</v>
      </c>
    </row>
    <row r="2186" spans="1:21" ht="20.399999999999999">
      <c r="A2186" s="6">
        <v>43436.81</v>
      </c>
      <c r="B2186" s="7" t="str">
        <f>HYPERLINK("https://twitter.com/AuroritaArce","@AuroritaArce")</f>
        <v>@AuroritaArce</v>
      </c>
      <c r="C2186" s="8" t="s">
        <v>7502</v>
      </c>
      <c r="D2186" s="9" t="s">
        <v>3949</v>
      </c>
      <c r="E2186" s="10" t="str">
        <f>HYPERLINK("https://twitter.com/AuroritaArce/status/1069296740120055809","1069296740120055809")</f>
        <v>1069296740120055809</v>
      </c>
      <c r="F2186" s="11" t="s">
        <v>3950</v>
      </c>
      <c r="G2186" s="12"/>
      <c r="H2186" s="12"/>
      <c r="I2186" s="13">
        <v>0</v>
      </c>
      <c r="J2186" s="13">
        <v>1</v>
      </c>
      <c r="K2186" s="14" t="str">
        <f t="shared" si="390"/>
        <v>Facebook</v>
      </c>
      <c r="L2186" s="13">
        <v>145</v>
      </c>
      <c r="M2186" s="13">
        <v>420</v>
      </c>
      <c r="N2186" s="13">
        <v>1</v>
      </c>
      <c r="O2186" s="15"/>
      <c r="P2186" s="6">
        <v>42490.700231481482</v>
      </c>
      <c r="Q2186" s="16" t="s">
        <v>232</v>
      </c>
      <c r="R2186" s="17" t="s">
        <v>7503</v>
      </c>
      <c r="S2186" s="11" t="s">
        <v>7504</v>
      </c>
      <c r="T2186" s="12"/>
      <c r="U2186" s="10" t="str">
        <f>HYPERLINK("https://pbs.twimg.com/profile_images/850722640562094080/oz-Lm4YZ.jpg","View")</f>
        <v>View</v>
      </c>
    </row>
    <row r="2187" spans="1:21" ht="20.399999999999999">
      <c r="A2187" s="6">
        <v>43436.809444444443</v>
      </c>
      <c r="B2187" s="7" t="str">
        <f>HYPERLINK("https://twitter.com/juansantiso","@juansantiso")</f>
        <v>@juansantiso</v>
      </c>
      <c r="C2187" s="8" t="s">
        <v>7505</v>
      </c>
      <c r="D2187" s="9" t="s">
        <v>3949</v>
      </c>
      <c r="E2187" s="10" t="str">
        <f>HYPERLINK("https://twitter.com/juansantiso/status/1069296539548438529","1069296539548438529")</f>
        <v>1069296539548438529</v>
      </c>
      <c r="F2187" s="11" t="s">
        <v>3950</v>
      </c>
      <c r="G2187" s="12"/>
      <c r="H2187" s="12"/>
      <c r="I2187" s="13">
        <v>0</v>
      </c>
      <c r="J2187" s="13">
        <v>0</v>
      </c>
      <c r="K2187" s="14" t="str">
        <f t="shared" si="390"/>
        <v>Facebook</v>
      </c>
      <c r="L2187" s="13">
        <v>1788</v>
      </c>
      <c r="M2187" s="13">
        <v>2940</v>
      </c>
      <c r="N2187" s="13">
        <v>62</v>
      </c>
      <c r="O2187" s="15"/>
      <c r="P2187" s="6">
        <v>40793.016388888893</v>
      </c>
      <c r="Q2187" s="16" t="s">
        <v>572</v>
      </c>
      <c r="R2187" s="17" t="s">
        <v>7506</v>
      </c>
      <c r="S2187" s="11" t="s">
        <v>7507</v>
      </c>
      <c r="T2187" s="12"/>
      <c r="U2187" s="10" t="str">
        <f>HYPERLINK("https://pbs.twimg.com/profile_images/983668180848701443/IF4Y7rRA.jpg","View")</f>
        <v>View</v>
      </c>
    </row>
    <row r="2188" spans="1:21" ht="30.6">
      <c r="A2188" s="6">
        <v>43436.799039351856</v>
      </c>
      <c r="B2188" s="7" t="str">
        <f>HYPERLINK("https://twitter.com/Televisera1","@Televisera1")</f>
        <v>@Televisera1</v>
      </c>
      <c r="C2188" s="8" t="s">
        <v>7508</v>
      </c>
      <c r="D2188" s="9" t="s">
        <v>7509</v>
      </c>
      <c r="E2188" s="10" t="str">
        <f>HYPERLINK("https://twitter.com/Televisera1/status/1069292767879315457","1069292767879315457")</f>
        <v>1069292767879315457</v>
      </c>
      <c r="F2188" s="12"/>
      <c r="G2188" s="12"/>
      <c r="H2188" s="12"/>
      <c r="I2188" s="13">
        <v>0</v>
      </c>
      <c r="J2188" s="13">
        <v>0</v>
      </c>
      <c r="K2188" s="14" t="str">
        <f t="shared" ref="K2188:K2189" si="391">HYPERLINK("http://twitter.com/download/android","Twitter for Android")</f>
        <v>Twitter for Android</v>
      </c>
      <c r="L2188" s="13">
        <v>26</v>
      </c>
      <c r="M2188" s="13">
        <v>53</v>
      </c>
      <c r="N2188" s="13">
        <v>0</v>
      </c>
      <c r="O2188" s="15"/>
      <c r="P2188" s="6">
        <v>43371.583865740744</v>
      </c>
      <c r="Q2188" s="12"/>
      <c r="R2188" s="17" t="s">
        <v>7510</v>
      </c>
      <c r="S2188" s="12"/>
      <c r="T2188" s="12"/>
      <c r="U2188" s="10" t="str">
        <f>HYPERLINK("https://pbs.twimg.com/profile_images/1045645137253142528/7Ow3kM1x.jpg","View")</f>
        <v>View</v>
      </c>
    </row>
    <row r="2189" spans="1:21" ht="51">
      <c r="A2189" s="6">
        <v>43436.794120370367</v>
      </c>
      <c r="B2189" s="7" t="str">
        <f>HYPERLINK("https://twitter.com/arkaizt","@arkaizt")</f>
        <v>@arkaizt</v>
      </c>
      <c r="C2189" s="8" t="s">
        <v>7511</v>
      </c>
      <c r="D2189" s="9" t="s">
        <v>7512</v>
      </c>
      <c r="E2189" s="10" t="str">
        <f>HYPERLINK("https://twitter.com/arkaizt/status/1069290988538089478","1069290988538089478")</f>
        <v>1069290988538089478</v>
      </c>
      <c r="F2189" s="16" t="s">
        <v>7513</v>
      </c>
      <c r="G2189" s="12"/>
      <c r="H2189" s="12"/>
      <c r="I2189" s="13">
        <v>0</v>
      </c>
      <c r="J2189" s="13">
        <v>0</v>
      </c>
      <c r="K2189" s="14" t="str">
        <f t="shared" si="391"/>
        <v>Twitter for Android</v>
      </c>
      <c r="L2189" s="13">
        <v>284</v>
      </c>
      <c r="M2189" s="13">
        <v>740</v>
      </c>
      <c r="N2189" s="13">
        <v>0</v>
      </c>
      <c r="O2189" s="15"/>
      <c r="P2189" s="6">
        <v>40603.915729166663</v>
      </c>
      <c r="Q2189" s="12"/>
      <c r="R2189" s="17" t="s">
        <v>7514</v>
      </c>
      <c r="S2189" s="12"/>
      <c r="T2189" s="12"/>
      <c r="U2189" s="10" t="str">
        <f>HYPERLINK("https://pbs.twimg.com/profile_images/1008855422126776320/fVvSkHU2.jpg","View")</f>
        <v>View</v>
      </c>
    </row>
    <row r="2190" spans="1:21" ht="30.6">
      <c r="A2190" s="6">
        <v>43436.778402777782</v>
      </c>
      <c r="B2190" s="7" t="str">
        <f>HYPERLINK("https://twitter.com/aruizcapilla","@aruizcapilla")</f>
        <v>@aruizcapilla</v>
      </c>
      <c r="C2190" s="8" t="s">
        <v>7515</v>
      </c>
      <c r="D2190" s="9" t="s">
        <v>7516</v>
      </c>
      <c r="E2190" s="10" t="str">
        <f>HYPERLINK("https://twitter.com/aruizcapilla/status/1069285291721179136","1069285291721179136")</f>
        <v>1069285291721179136</v>
      </c>
      <c r="F2190" s="12"/>
      <c r="G2190" s="12"/>
      <c r="H2190" s="12"/>
      <c r="I2190" s="13">
        <v>7</v>
      </c>
      <c r="J2190" s="13">
        <v>11</v>
      </c>
      <c r="K2190" s="14" t="str">
        <f t="shared" ref="K2190:K2193" si="392">HYPERLINK("http://twitter.com","Twitter Web Client")</f>
        <v>Twitter Web Client</v>
      </c>
      <c r="L2190" s="13">
        <v>2389</v>
      </c>
      <c r="M2190" s="13">
        <v>504</v>
      </c>
      <c r="N2190" s="13">
        <v>44</v>
      </c>
      <c r="O2190" s="15"/>
      <c r="P2190" s="6">
        <v>40438.571261574078</v>
      </c>
      <c r="Q2190" s="16" t="s">
        <v>7517</v>
      </c>
      <c r="R2190" s="17" t="s">
        <v>7518</v>
      </c>
      <c r="S2190" s="11" t="s">
        <v>7519</v>
      </c>
      <c r="T2190" s="12"/>
      <c r="U2190" s="10" t="str">
        <f>HYPERLINK("https://pbs.twimg.com/profile_images/1053780051395796993/Fum1IxnV.jpg","View")</f>
        <v>View</v>
      </c>
    </row>
    <row r="2191" spans="1:21" ht="30.6">
      <c r="A2191" s="6">
        <v>43436.759328703702</v>
      </c>
      <c r="B2191" s="7" t="str">
        <f>HYPERLINK("https://twitter.com/Houseof_CAT","@Houseof_CAT")</f>
        <v>@Houseof_CAT</v>
      </c>
      <c r="C2191" s="8" t="s">
        <v>7520</v>
      </c>
      <c r="D2191" s="9" t="s">
        <v>7521</v>
      </c>
      <c r="E2191" s="10" t="str">
        <f>HYPERLINK("https://twitter.com/Houseof_CAT/status/1069278378417692672","1069278378417692672")</f>
        <v>1069278378417692672</v>
      </c>
      <c r="F2191" s="12"/>
      <c r="G2191" s="12"/>
      <c r="H2191" s="12"/>
      <c r="I2191" s="13">
        <v>12</v>
      </c>
      <c r="J2191" s="13">
        <v>66</v>
      </c>
      <c r="K2191" s="14" t="str">
        <f t="shared" si="392"/>
        <v>Twitter Web Client</v>
      </c>
      <c r="L2191" s="13">
        <v>26183</v>
      </c>
      <c r="M2191" s="13">
        <v>4953</v>
      </c>
      <c r="N2191" s="13">
        <v>124</v>
      </c>
      <c r="O2191" s="15"/>
      <c r="P2191" s="6">
        <v>42973.672824074078</v>
      </c>
      <c r="Q2191" s="16" t="s">
        <v>370</v>
      </c>
      <c r="R2191" s="17" t="s">
        <v>7522</v>
      </c>
      <c r="S2191" s="12"/>
      <c r="T2191" s="12"/>
      <c r="U2191" s="10" t="str">
        <f>HYPERLINK("https://pbs.twimg.com/profile_images/974036873483079682/Cd-JhYW_.jpg","View")</f>
        <v>View</v>
      </c>
    </row>
    <row r="2192" spans="1:21" ht="20.399999999999999">
      <c r="A2192" s="6">
        <v>43436.758923611109</v>
      </c>
      <c r="B2192" s="7" t="str">
        <f>HYPERLINK("https://twitter.com/viross222","@viross222")</f>
        <v>@viross222</v>
      </c>
      <c r="C2192" s="8" t="s">
        <v>7523</v>
      </c>
      <c r="D2192" s="9" t="s">
        <v>7524</v>
      </c>
      <c r="E2192" s="10" t="str">
        <f>HYPERLINK("https://twitter.com/viross222/status/1069278230488772608","1069278230488772608")</f>
        <v>1069278230488772608</v>
      </c>
      <c r="F2192" s="11" t="s">
        <v>548</v>
      </c>
      <c r="G2192" s="12"/>
      <c r="H2192" s="12"/>
      <c r="I2192" s="13">
        <v>0</v>
      </c>
      <c r="J2192" s="13">
        <v>0</v>
      </c>
      <c r="K2192" s="14" t="str">
        <f t="shared" si="392"/>
        <v>Twitter Web Client</v>
      </c>
      <c r="L2192" s="13">
        <v>3530</v>
      </c>
      <c r="M2192" s="13">
        <v>3115</v>
      </c>
      <c r="N2192" s="13">
        <v>303</v>
      </c>
      <c r="O2192" s="15"/>
      <c r="P2192" s="6">
        <v>41220.917384259257</v>
      </c>
      <c r="Q2192" s="16" t="s">
        <v>191</v>
      </c>
      <c r="R2192" s="17" t="s">
        <v>7525</v>
      </c>
      <c r="S2192" s="11" t="s">
        <v>7526</v>
      </c>
      <c r="T2192" s="12"/>
      <c r="U2192" s="10" t="str">
        <f>HYPERLINK("https://pbs.twimg.com/profile_images/1070449178466230273/P6-_3Gzg.jpg","View")</f>
        <v>View</v>
      </c>
    </row>
    <row r="2193" spans="1:21" ht="30.6">
      <c r="A2193" s="6">
        <v>43436.758032407408</v>
      </c>
      <c r="B2193" s="7" t="str">
        <f>HYPERLINK("https://twitter.com/citiromero","@citiromero")</f>
        <v>@citiromero</v>
      </c>
      <c r="C2193" s="8" t="s">
        <v>7527</v>
      </c>
      <c r="D2193" s="9" t="s">
        <v>7528</v>
      </c>
      <c r="E2193" s="10" t="str">
        <f>HYPERLINK("https://twitter.com/citiromero/status/1069277908718534656","1069277908718534656")</f>
        <v>1069277908718534656</v>
      </c>
      <c r="F2193" s="12"/>
      <c r="G2193" s="12"/>
      <c r="H2193" s="12"/>
      <c r="I2193" s="13">
        <v>0</v>
      </c>
      <c r="J2193" s="13">
        <v>0</v>
      </c>
      <c r="K2193" s="14" t="str">
        <f t="shared" si="392"/>
        <v>Twitter Web Client</v>
      </c>
      <c r="L2193" s="13">
        <v>38</v>
      </c>
      <c r="M2193" s="13">
        <v>306</v>
      </c>
      <c r="N2193" s="13">
        <v>0</v>
      </c>
      <c r="O2193" s="15"/>
      <c r="P2193" s="6">
        <v>41912.559652777782</v>
      </c>
      <c r="Q2193" s="12"/>
      <c r="R2193" s="17" t="s">
        <v>7529</v>
      </c>
      <c r="S2193" s="12"/>
      <c r="T2193" s="12"/>
      <c r="U2193" s="10" t="str">
        <f>HYPERLINK("https://pbs.twimg.com/profile_images/934906383597801475/fCbghgYw.jpg","View")</f>
        <v>View</v>
      </c>
    </row>
    <row r="2194" spans="1:21" ht="20.399999999999999">
      <c r="A2194" s="6">
        <v>43436.757638888885</v>
      </c>
      <c r="B2194" s="7" t="str">
        <f>HYPERLINK("https://twitter.com/sergiodecarbo","@sergiodecarbo")</f>
        <v>@sergiodecarbo</v>
      </c>
      <c r="C2194" s="8" t="s">
        <v>7530</v>
      </c>
      <c r="D2194" s="9" t="s">
        <v>7531</v>
      </c>
      <c r="E2194" s="10" t="str">
        <f>HYPERLINK("https://twitter.com/sergiodecarbo/status/1069277768398106625","1069277768398106625")</f>
        <v>1069277768398106625</v>
      </c>
      <c r="F2194" s="12"/>
      <c r="G2194" s="12"/>
      <c r="H2194" s="12"/>
      <c r="I2194" s="13">
        <v>0</v>
      </c>
      <c r="J2194" s="13">
        <v>0</v>
      </c>
      <c r="K2194" s="14" t="str">
        <f t="shared" ref="K2194:K2195" si="393">HYPERLINK("http://www.facebook.com/twitter","Facebook")</f>
        <v>Facebook</v>
      </c>
      <c r="L2194" s="13">
        <v>13</v>
      </c>
      <c r="M2194" s="13">
        <v>39</v>
      </c>
      <c r="N2194" s="13">
        <v>0</v>
      </c>
      <c r="O2194" s="15"/>
      <c r="P2194" s="6">
        <v>43226.655960648146</v>
      </c>
      <c r="Q2194" s="12"/>
      <c r="R2194" s="20"/>
      <c r="S2194" s="12"/>
      <c r="T2194" s="12"/>
      <c r="U2194" s="10" t="str">
        <f>HYPERLINK("https://pbs.twimg.com/profile_images/993129206941933568/f4mjqhkQ.jpg","View")</f>
        <v>View</v>
      </c>
    </row>
    <row r="2195" spans="1:21" ht="30.6">
      <c r="A2195" s="6">
        <v>43436.756215277783</v>
      </c>
      <c r="B2195" s="7" t="str">
        <f>HYPERLINK("https://twitter.com/RCachafeiro","@RCachafeiro")</f>
        <v>@RCachafeiro</v>
      </c>
      <c r="C2195" s="8" t="s">
        <v>7532</v>
      </c>
      <c r="D2195" s="9" t="s">
        <v>7533</v>
      </c>
      <c r="E2195" s="10" t="str">
        <f>HYPERLINK("https://twitter.com/RCachafeiro/status/1069277252578410496","1069277252578410496")</f>
        <v>1069277252578410496</v>
      </c>
      <c r="F2195" s="11" t="s">
        <v>7534</v>
      </c>
      <c r="G2195" s="12"/>
      <c r="H2195" s="12"/>
      <c r="I2195" s="13">
        <v>0</v>
      </c>
      <c r="J2195" s="13">
        <v>0</v>
      </c>
      <c r="K2195" s="14" t="str">
        <f t="shared" si="393"/>
        <v>Facebook</v>
      </c>
      <c r="L2195" s="13">
        <v>516</v>
      </c>
      <c r="M2195" s="13">
        <v>4</v>
      </c>
      <c r="N2195" s="13">
        <v>7</v>
      </c>
      <c r="O2195" s="15"/>
      <c r="P2195" s="6">
        <v>40671.594756944447</v>
      </c>
      <c r="Q2195" s="16" t="s">
        <v>7535</v>
      </c>
      <c r="R2195" s="17" t="s">
        <v>7536</v>
      </c>
      <c r="S2195" s="11" t="s">
        <v>7537</v>
      </c>
      <c r="T2195" s="12"/>
      <c r="U2195" s="10" t="str">
        <f>HYPERLINK("https://pbs.twimg.com/profile_images/850003093248987137/a56cHHdP.jpg","View")</f>
        <v>View</v>
      </c>
    </row>
    <row r="2196" spans="1:21" ht="40.799999999999997">
      <c r="A2196" s="6">
        <v>43436.750162037039</v>
      </c>
      <c r="B2196" s="7" t="str">
        <f>HYPERLINK("https://twitter.com/elpais_espana","@elpais_espana")</f>
        <v>@elpais_espana</v>
      </c>
      <c r="C2196" s="8" t="s">
        <v>3901</v>
      </c>
      <c r="D2196" s="9" t="s">
        <v>7538</v>
      </c>
      <c r="E2196" s="10" t="str">
        <f>HYPERLINK("https://twitter.com/elpais_espana/status/1069275058261147648","1069275058261147648")</f>
        <v>1069275058261147648</v>
      </c>
      <c r="F2196" s="11" t="s">
        <v>7539</v>
      </c>
      <c r="G2196" s="12"/>
      <c r="H2196" s="12"/>
      <c r="I2196" s="13">
        <v>2</v>
      </c>
      <c r="J2196" s="13">
        <v>0</v>
      </c>
      <c r="K2196" s="14" t="str">
        <f>HYPERLINK("https://www.hootsuite.com","Hootsuite Inc.")</f>
        <v>Hootsuite Inc.</v>
      </c>
      <c r="L2196" s="13">
        <v>405188</v>
      </c>
      <c r="M2196" s="13">
        <v>799</v>
      </c>
      <c r="N2196" s="13">
        <v>6352</v>
      </c>
      <c r="O2196" s="19" t="s">
        <v>44</v>
      </c>
      <c r="P2196" s="6">
        <v>40245.788946759261</v>
      </c>
      <c r="Q2196" s="16" t="s">
        <v>191</v>
      </c>
      <c r="R2196" s="17" t="s">
        <v>3904</v>
      </c>
      <c r="S2196" s="11" t="s">
        <v>3905</v>
      </c>
      <c r="T2196" s="12"/>
      <c r="U2196" s="10" t="str">
        <f>HYPERLINK("https://pbs.twimg.com/profile_images/917337394914955264/aoU6Bl-8.jpg","View")</f>
        <v>View</v>
      </c>
    </row>
    <row r="2197" spans="1:21" ht="20.399999999999999">
      <c r="A2197" s="6">
        <v>43436.749930555554</v>
      </c>
      <c r="B2197" s="7" t="str">
        <f>HYPERLINK("https://twitter.com/girasolok","@girasolok")</f>
        <v>@girasolok</v>
      </c>
      <c r="C2197" s="8" t="s">
        <v>7540</v>
      </c>
      <c r="D2197" s="9" t="s">
        <v>973</v>
      </c>
      <c r="E2197" s="10" t="str">
        <f>HYPERLINK("https://twitter.com/girasolok/status/1069274971510194176","1069274971510194176")</f>
        <v>1069274971510194176</v>
      </c>
      <c r="F2197" s="11" t="s">
        <v>974</v>
      </c>
      <c r="G2197" s="12"/>
      <c r="H2197" s="12"/>
      <c r="I2197" s="13">
        <v>1</v>
      </c>
      <c r="J2197" s="13">
        <v>0</v>
      </c>
      <c r="K2197" s="14" t="str">
        <f>HYPERLINK("http://www.facebook.com/twitter","Facebook")</f>
        <v>Facebook</v>
      </c>
      <c r="L2197" s="13">
        <v>1402</v>
      </c>
      <c r="M2197" s="13">
        <v>1459</v>
      </c>
      <c r="N2197" s="13">
        <v>29</v>
      </c>
      <c r="O2197" s="15"/>
      <c r="P2197" s="6">
        <v>40532.76290509259</v>
      </c>
      <c r="Q2197" s="16" t="s">
        <v>7541</v>
      </c>
      <c r="R2197" s="17" t="s">
        <v>7542</v>
      </c>
      <c r="S2197" s="11" t="s">
        <v>7543</v>
      </c>
      <c r="T2197" s="12"/>
      <c r="U2197" s="10" t="str">
        <f>HYPERLINK("https://pbs.twimg.com/profile_images/963438016340611072/gfuRZOfr.jpg","View")</f>
        <v>View</v>
      </c>
    </row>
    <row r="2198" spans="1:21" ht="40.799999999999997">
      <c r="A2198" s="6">
        <v>43436.743379629625</v>
      </c>
      <c r="B2198" s="7" t="str">
        <f>HYPERLINK("https://twitter.com/pateandoespana","@pateandoespana")</f>
        <v>@pateandoespana</v>
      </c>
      <c r="C2198" s="8" t="s">
        <v>7544</v>
      </c>
      <c r="D2198" s="9" t="s">
        <v>3608</v>
      </c>
      <c r="E2198" s="10" t="str">
        <f>HYPERLINK("https://twitter.com/pateandoespana/status/1069272601246224386","1069272601246224386")</f>
        <v>1069272601246224386</v>
      </c>
      <c r="F2198" s="12"/>
      <c r="G2198" s="11" t="s">
        <v>7545</v>
      </c>
      <c r="H2198" s="12"/>
      <c r="I2198" s="13">
        <v>0</v>
      </c>
      <c r="J2198" s="13">
        <v>0</v>
      </c>
      <c r="K2198" s="14" t="str">
        <f>HYPERLINK("http://twitter.com","Twitter Web Client")</f>
        <v>Twitter Web Client</v>
      </c>
      <c r="L2198" s="13">
        <v>1446</v>
      </c>
      <c r="M2198" s="13">
        <v>910</v>
      </c>
      <c r="N2198" s="13">
        <v>20</v>
      </c>
      <c r="O2198" s="15"/>
      <c r="P2198" s="6">
        <v>40615.57203703704</v>
      </c>
      <c r="Q2198" s="16" t="s">
        <v>48</v>
      </c>
      <c r="R2198" s="17" t="s">
        <v>7546</v>
      </c>
      <c r="S2198" s="16" t="s">
        <v>7547</v>
      </c>
      <c r="T2198" s="12"/>
      <c r="U2198" s="10" t="str">
        <f>HYPERLINK("https://pbs.twimg.com/profile_images/473810188961464321/HmK1a7ux.jpeg","View")</f>
        <v>View</v>
      </c>
    </row>
    <row r="2199" spans="1:21" ht="71.400000000000006">
      <c r="A2199" s="6">
        <v>43436.738599537042</v>
      </c>
      <c r="B2199" s="7" t="str">
        <f>HYPERLINK("https://twitter.com/magiclude","@magiclude")</f>
        <v>@magiclude</v>
      </c>
      <c r="C2199" s="8" t="s">
        <v>7548</v>
      </c>
      <c r="D2199" s="9" t="s">
        <v>7549</v>
      </c>
      <c r="E2199" s="10" t="str">
        <f>HYPERLINK("https://twitter.com/magiclude/status/1069270867039985664","1069270867039985664")</f>
        <v>1069270867039985664</v>
      </c>
      <c r="F2199" s="11" t="s">
        <v>754</v>
      </c>
      <c r="G2199" s="11" t="s">
        <v>755</v>
      </c>
      <c r="H2199" s="12"/>
      <c r="I2199" s="13">
        <v>0</v>
      </c>
      <c r="J2199" s="13">
        <v>0</v>
      </c>
      <c r="K2199" s="14" t="str">
        <f t="shared" ref="K2199:K2201" si="394">HYPERLINK("http://twitter.com/download/android","Twitter for Android")</f>
        <v>Twitter for Android</v>
      </c>
      <c r="L2199" s="13">
        <v>318</v>
      </c>
      <c r="M2199" s="13">
        <v>260</v>
      </c>
      <c r="N2199" s="13">
        <v>3</v>
      </c>
      <c r="O2199" s="15"/>
      <c r="P2199" s="6">
        <v>40803.985810185186</v>
      </c>
      <c r="Q2199" s="16" t="s">
        <v>30</v>
      </c>
      <c r="R2199" s="17" t="s">
        <v>7550</v>
      </c>
      <c r="S2199" s="11" t="s">
        <v>7551</v>
      </c>
      <c r="T2199" s="12"/>
      <c r="U2199" s="10" t="str">
        <f>HYPERLINK("https://pbs.twimg.com/profile_images/1070886655295401985/pHyF7lzn.jpg","View")</f>
        <v>View</v>
      </c>
    </row>
    <row r="2200" spans="1:21" ht="13.2">
      <c r="A2200" s="6">
        <v>43436.737662037034</v>
      </c>
      <c r="B2200" s="7" t="str">
        <f>HYPERLINK("https://twitter.com/LarrySion","@LarrySion")</f>
        <v>@LarrySion</v>
      </c>
      <c r="C2200" s="8" t="s">
        <v>7552</v>
      </c>
      <c r="D2200" s="9" t="s">
        <v>7553</v>
      </c>
      <c r="E2200" s="10" t="str">
        <f>HYPERLINK("https://twitter.com/LarrySion/status/1069270526223364096","1069270526223364096")</f>
        <v>1069270526223364096</v>
      </c>
      <c r="F2200" s="12"/>
      <c r="G2200" s="12"/>
      <c r="H2200" s="12"/>
      <c r="I2200" s="13">
        <v>4</v>
      </c>
      <c r="J2200" s="13">
        <v>11</v>
      </c>
      <c r="K2200" s="14" t="str">
        <f t="shared" si="394"/>
        <v>Twitter for Android</v>
      </c>
      <c r="L2200" s="13">
        <v>26338</v>
      </c>
      <c r="M2200" s="13">
        <v>573</v>
      </c>
      <c r="N2200" s="13">
        <v>733</v>
      </c>
      <c r="O2200" s="15"/>
      <c r="P2200" s="6">
        <v>40730.855081018519</v>
      </c>
      <c r="Q2200" s="16" t="s">
        <v>3386</v>
      </c>
      <c r="R2200" s="17" t="s">
        <v>7554</v>
      </c>
      <c r="S2200" s="11" t="s">
        <v>7555</v>
      </c>
      <c r="T2200" s="12"/>
      <c r="U2200" s="10" t="str">
        <f>HYPERLINK("https://pbs.twimg.com/profile_images/771274112094367744/8VgXbwjo.jpg","View")</f>
        <v>View</v>
      </c>
    </row>
    <row r="2201" spans="1:21" ht="40.799999999999997">
      <c r="A2201" s="6">
        <v>43436.736759259264</v>
      </c>
      <c r="B2201" s="7" t="str">
        <f>HYPERLINK("https://twitter.com/loisgarea","@loisgarea")</f>
        <v>@loisgarea</v>
      </c>
      <c r="C2201" s="8" t="s">
        <v>7556</v>
      </c>
      <c r="D2201" s="9" t="s">
        <v>7557</v>
      </c>
      <c r="E2201" s="10" t="str">
        <f>HYPERLINK("https://twitter.com/loisgarea/status/1069270198266535937","1069270198266535937")</f>
        <v>1069270198266535937</v>
      </c>
      <c r="F2201" s="12"/>
      <c r="G2201" s="12"/>
      <c r="H2201" s="12"/>
      <c r="I2201" s="13">
        <v>0</v>
      </c>
      <c r="J2201" s="13">
        <v>0</v>
      </c>
      <c r="K2201" s="14" t="str">
        <f t="shared" si="394"/>
        <v>Twitter for Android</v>
      </c>
      <c r="L2201" s="13">
        <v>8</v>
      </c>
      <c r="M2201" s="13">
        <v>56</v>
      </c>
      <c r="N2201" s="13">
        <v>0</v>
      </c>
      <c r="O2201" s="15"/>
      <c r="P2201" s="6">
        <v>41719.777557870373</v>
      </c>
      <c r="Q2201" s="12"/>
      <c r="R2201" s="20"/>
      <c r="S2201" s="12"/>
      <c r="T2201" s="12"/>
      <c r="U2201" s="10" t="str">
        <f>HYPERLINK("https://pbs.twimg.com/profile_images/447066244110639104/YDoVcJTW.png","View")</f>
        <v>View</v>
      </c>
    </row>
    <row r="2202" spans="1:21" ht="51">
      <c r="A2202" s="6">
        <v>43436.735844907409</v>
      </c>
      <c r="B2202" s="7" t="str">
        <f>HYPERLINK("https://twitter.com/YasmiGonzalez","@YasmiGonzalez")</f>
        <v>@YasmiGonzalez</v>
      </c>
      <c r="C2202" s="8" t="s">
        <v>7558</v>
      </c>
      <c r="D2202" s="9" t="s">
        <v>7559</v>
      </c>
      <c r="E2202" s="10" t="str">
        <f>HYPERLINK("https://twitter.com/YasmiGonzalez/status/1069269867113709568","1069269867113709568")</f>
        <v>1069269867113709568</v>
      </c>
      <c r="F2202" s="12"/>
      <c r="G2202" s="12"/>
      <c r="H2202" s="12"/>
      <c r="I2202" s="13">
        <v>0</v>
      </c>
      <c r="J2202" s="13">
        <v>1</v>
      </c>
      <c r="K2202" s="14" t="str">
        <f>HYPERLINK("http://twitter.com/download/iphone","Twitter for iPhone")</f>
        <v>Twitter for iPhone</v>
      </c>
      <c r="L2202" s="13">
        <v>732</v>
      </c>
      <c r="M2202" s="13">
        <v>784</v>
      </c>
      <c r="N2202" s="13">
        <v>8</v>
      </c>
      <c r="O2202" s="15"/>
      <c r="P2202" s="6">
        <v>40913.812418981484</v>
      </c>
      <c r="Q2202" s="16" t="s">
        <v>7560</v>
      </c>
      <c r="R2202" s="17" t="s">
        <v>7561</v>
      </c>
      <c r="S2202" s="11" t="s">
        <v>7562</v>
      </c>
      <c r="T2202" s="12"/>
      <c r="U2202" s="10" t="str">
        <f>HYPERLINK("https://pbs.twimg.com/profile_images/1037729138440896512/Vlwv1Ej8.jpg","View")</f>
        <v>View</v>
      </c>
    </row>
    <row r="2203" spans="1:21" ht="20.399999999999999">
      <c r="A2203" s="6">
        <v>43436.73027777778</v>
      </c>
      <c r="B2203" s="7" t="str">
        <f>HYPERLINK("https://twitter.com/martinator87","@martinator87")</f>
        <v>@martinator87</v>
      </c>
      <c r="C2203" s="8" t="s">
        <v>7563</v>
      </c>
      <c r="D2203" s="9" t="s">
        <v>7564</v>
      </c>
      <c r="E2203" s="10" t="str">
        <f>HYPERLINK("https://twitter.com/martinator87/status/1069267852304232448","1069267852304232448")</f>
        <v>1069267852304232448</v>
      </c>
      <c r="F2203" s="11" t="s">
        <v>7565</v>
      </c>
      <c r="G2203" s="12"/>
      <c r="H2203" s="12"/>
      <c r="I2203" s="13">
        <v>0</v>
      </c>
      <c r="J2203" s="13">
        <v>1</v>
      </c>
      <c r="K2203" s="14" t="str">
        <f t="shared" ref="K2203:K2205" si="395">HYPERLINK("http://twitter.com","Twitter Web Client")</f>
        <v>Twitter Web Client</v>
      </c>
      <c r="L2203" s="13">
        <v>606</v>
      </c>
      <c r="M2203" s="13">
        <v>580</v>
      </c>
      <c r="N2203" s="13">
        <v>7</v>
      </c>
      <c r="O2203" s="15"/>
      <c r="P2203" s="6">
        <v>40798.508229166662</v>
      </c>
      <c r="Q2203" s="12"/>
      <c r="R2203" s="17" t="s">
        <v>7566</v>
      </c>
      <c r="S2203" s="11" t="s">
        <v>7567</v>
      </c>
      <c r="T2203" s="12"/>
      <c r="U2203" s="10" t="str">
        <f>HYPERLINK("https://pbs.twimg.com/profile_images/936680418551746561/X-WBHF39.jpg","View")</f>
        <v>View</v>
      </c>
    </row>
    <row r="2204" spans="1:21" ht="51">
      <c r="A2204" s="6">
        <v>43436.725914351853</v>
      </c>
      <c r="B2204" s="7" t="str">
        <f>HYPERLINK("https://twitter.com/pidemepareyes","@pidemepareyes")</f>
        <v>@pidemepareyes</v>
      </c>
      <c r="C2204" s="8" t="s">
        <v>7568</v>
      </c>
      <c r="D2204" s="9" t="s">
        <v>7569</v>
      </c>
      <c r="E2204" s="10" t="str">
        <f>HYPERLINK("https://twitter.com/pidemepareyes/status/1069266269994659845","1069266269994659845")</f>
        <v>1069266269994659845</v>
      </c>
      <c r="F2204" s="11" t="s">
        <v>7570</v>
      </c>
      <c r="G2204" s="12"/>
      <c r="H2204" s="12"/>
      <c r="I2204" s="13">
        <v>0</v>
      </c>
      <c r="J2204" s="13">
        <v>0</v>
      </c>
      <c r="K2204" s="14" t="str">
        <f t="shared" si="395"/>
        <v>Twitter Web Client</v>
      </c>
      <c r="L2204" s="13">
        <v>42</v>
      </c>
      <c r="M2204" s="13">
        <v>186</v>
      </c>
      <c r="N2204" s="13">
        <v>0</v>
      </c>
      <c r="O2204" s="15"/>
      <c r="P2204" s="6">
        <v>41138.975393518514</v>
      </c>
      <c r="Q2204" s="16" t="s">
        <v>191</v>
      </c>
      <c r="R2204" s="17" t="s">
        <v>7571</v>
      </c>
      <c r="S2204" s="11" t="s">
        <v>7572</v>
      </c>
      <c r="T2204" s="12"/>
      <c r="U2204" s="10" t="str">
        <f>HYPERLINK("https://pbs.twimg.com/profile_images/459007820684222465/FyzAUlOr.png","View")</f>
        <v>View</v>
      </c>
    </row>
    <row r="2205" spans="1:21" ht="30.6">
      <c r="A2205" s="6">
        <v>43436.721944444449</v>
      </c>
      <c r="B2205" s="7" t="str">
        <f>HYPERLINK("https://twitter.com/marcosrodp","@marcosrodp")</f>
        <v>@marcosrodp</v>
      </c>
      <c r="C2205" s="8" t="s">
        <v>7187</v>
      </c>
      <c r="D2205" s="9" t="s">
        <v>7573</v>
      </c>
      <c r="E2205" s="10" t="str">
        <f>HYPERLINK("https://twitter.com/marcosrodp/status/1069264833382625281","1069264833382625281")</f>
        <v>1069264833382625281</v>
      </c>
      <c r="F2205" s="11" t="s">
        <v>7574</v>
      </c>
      <c r="G2205" s="12"/>
      <c r="H2205" s="12"/>
      <c r="I2205" s="13">
        <v>0</v>
      </c>
      <c r="J2205" s="13">
        <v>1</v>
      </c>
      <c r="K2205" s="14" t="str">
        <f t="shared" si="395"/>
        <v>Twitter Web Client</v>
      </c>
      <c r="L2205" s="13">
        <v>602</v>
      </c>
      <c r="M2205" s="13">
        <v>1238</v>
      </c>
      <c r="N2205" s="13">
        <v>27</v>
      </c>
      <c r="O2205" s="15"/>
      <c r="P2205" s="6">
        <v>40616.048032407409</v>
      </c>
      <c r="Q2205" s="16" t="s">
        <v>170</v>
      </c>
      <c r="R2205" s="17" t="s">
        <v>7190</v>
      </c>
      <c r="S2205" s="12"/>
      <c r="T2205" s="12"/>
      <c r="U2205" s="10" t="str">
        <f>HYPERLINK("https://pbs.twimg.com/profile_images/673020481444950016/8XvptbmU.jpg","View")</f>
        <v>View</v>
      </c>
    </row>
    <row r="2206" spans="1:21" ht="13.2">
      <c r="A2206" s="6">
        <v>43436.71638888889</v>
      </c>
      <c r="B2206" s="7" t="str">
        <f>HYPERLINK("https://twitter.com/manufa1955","@manufa1955")</f>
        <v>@manufa1955</v>
      </c>
      <c r="C2206" s="8" t="s">
        <v>7575</v>
      </c>
      <c r="D2206" s="9" t="s">
        <v>4669</v>
      </c>
      <c r="E2206" s="10" t="str">
        <f>HYPERLINK("https://twitter.com/manufa1955/status/1069262819055554561","1069262819055554561")</f>
        <v>1069262819055554561</v>
      </c>
      <c r="F2206" s="11" t="s">
        <v>4428</v>
      </c>
      <c r="G2206" s="12"/>
      <c r="H2206" s="12"/>
      <c r="I2206" s="13">
        <v>0</v>
      </c>
      <c r="J2206" s="13">
        <v>0</v>
      </c>
      <c r="K2206" s="14" t="str">
        <f>HYPERLINK("http://www.facebook.com/twitter","Facebook")</f>
        <v>Facebook</v>
      </c>
      <c r="L2206" s="13">
        <v>176</v>
      </c>
      <c r="M2206" s="13">
        <v>48</v>
      </c>
      <c r="N2206" s="13">
        <v>6</v>
      </c>
      <c r="O2206" s="15"/>
      <c r="P2206" s="6">
        <v>40460.974108796298</v>
      </c>
      <c r="Q2206" s="16" t="s">
        <v>7576</v>
      </c>
      <c r="R2206" s="20"/>
      <c r="S2206" s="11" t="s">
        <v>7577</v>
      </c>
      <c r="T2206" s="12"/>
      <c r="U2206" s="10" t="str">
        <f>HYPERLINK("https://pbs.twimg.com/profile_images/3556471273/b12f18f17841bf308162a9bc287448d3.jpeg","View")</f>
        <v>View</v>
      </c>
    </row>
    <row r="2207" spans="1:21" ht="20.399999999999999">
      <c r="A2207" s="6">
        <v>43436.702418981484</v>
      </c>
      <c r="B2207" s="7" t="str">
        <f>HYPERLINK("https://twitter.com/JanaGijon","@JanaGijon")</f>
        <v>@JanaGijon</v>
      </c>
      <c r="C2207" s="8" t="s">
        <v>7578</v>
      </c>
      <c r="D2207" s="9" t="s">
        <v>7579</v>
      </c>
      <c r="E2207" s="10" t="str">
        <f>HYPERLINK("https://twitter.com/JanaGijon/status/1069257757335932928","1069257757335932928")</f>
        <v>1069257757335932928</v>
      </c>
      <c r="F2207" s="12"/>
      <c r="G2207" s="12"/>
      <c r="H2207" s="12"/>
      <c r="I2207" s="13">
        <v>0</v>
      </c>
      <c r="J2207" s="13">
        <v>0</v>
      </c>
      <c r="K2207" s="14" t="str">
        <f t="shared" ref="K2207:K2209" si="396">HYPERLINK("http://twitter.com/download/android","Twitter for Android")</f>
        <v>Twitter for Android</v>
      </c>
      <c r="L2207" s="13">
        <v>4</v>
      </c>
      <c r="M2207" s="13">
        <v>28</v>
      </c>
      <c r="N2207" s="13">
        <v>0</v>
      </c>
      <c r="O2207" s="15"/>
      <c r="P2207" s="6">
        <v>43205.563715277778</v>
      </c>
      <c r="Q2207" s="12"/>
      <c r="R2207" s="20"/>
      <c r="S2207" s="12"/>
      <c r="T2207" s="12"/>
      <c r="U2207" s="10" t="str">
        <f>HYPERLINK("https://pbs.twimg.com/profile_images/1070344780029272065/vwj7k-2b.jpg","View")</f>
        <v>View</v>
      </c>
    </row>
    <row r="2208" spans="1:21" ht="20.399999999999999">
      <c r="A2208" s="6">
        <v>43436.683425925927</v>
      </c>
      <c r="B2208" s="7" t="str">
        <f>HYPERLINK("https://twitter.com/CronicaTerminus","@CronicaTerminus")</f>
        <v>@CronicaTerminus</v>
      </c>
      <c r="C2208" s="8" t="s">
        <v>3509</v>
      </c>
      <c r="D2208" s="9" t="s">
        <v>7580</v>
      </c>
      <c r="E2208" s="10" t="str">
        <f>HYPERLINK("https://twitter.com/CronicaTerminus/status/1069250873916837888","1069250873916837888")</f>
        <v>1069250873916837888</v>
      </c>
      <c r="F2208" s="12"/>
      <c r="G2208" s="11" t="s">
        <v>7581</v>
      </c>
      <c r="H2208" s="12"/>
      <c r="I2208" s="13">
        <v>0</v>
      </c>
      <c r="J2208" s="13">
        <v>0</v>
      </c>
      <c r="K2208" s="14" t="str">
        <f t="shared" si="396"/>
        <v>Twitter for Android</v>
      </c>
      <c r="L2208" s="13">
        <v>2</v>
      </c>
      <c r="M2208" s="13">
        <v>6</v>
      </c>
      <c r="N2208" s="13">
        <v>0</v>
      </c>
      <c r="O2208" s="15"/>
      <c r="P2208" s="6">
        <v>43414.024895833332</v>
      </c>
      <c r="Q2208" s="12"/>
      <c r="R2208" s="17" t="s">
        <v>3511</v>
      </c>
      <c r="S2208" s="12"/>
      <c r="T2208" s="12"/>
      <c r="U2208" s="10" t="str">
        <f>HYPERLINK("https://pbs.twimg.com/profile_images/1061177410043985920/B5YcGit-.jpg","View")</f>
        <v>View</v>
      </c>
    </row>
    <row r="2209" spans="1:21" ht="30.6">
      <c r="A2209" s="6">
        <v>43436.682395833333</v>
      </c>
      <c r="B2209" s="7" t="str">
        <f>HYPERLINK("https://twitter.com/Hiswe_","@Hiswe_")</f>
        <v>@Hiswe_</v>
      </c>
      <c r="C2209" s="8" t="s">
        <v>7582</v>
      </c>
      <c r="D2209" s="9" t="s">
        <v>7583</v>
      </c>
      <c r="E2209" s="10" t="str">
        <f>HYPERLINK("https://twitter.com/Hiswe_/status/1069250501282357248","1069250501282357248")</f>
        <v>1069250501282357248</v>
      </c>
      <c r="F2209" s="16" t="s">
        <v>7584</v>
      </c>
      <c r="G2209" s="11" t="s">
        <v>7585</v>
      </c>
      <c r="H2209" s="12"/>
      <c r="I2209" s="13">
        <v>1</v>
      </c>
      <c r="J2209" s="13">
        <v>0</v>
      </c>
      <c r="K2209" s="14" t="str">
        <f t="shared" si="396"/>
        <v>Twitter for Android</v>
      </c>
      <c r="L2209" s="13">
        <v>682</v>
      </c>
      <c r="M2209" s="13">
        <v>1149</v>
      </c>
      <c r="N2209" s="13">
        <v>5</v>
      </c>
      <c r="O2209" s="15"/>
      <c r="P2209" s="6">
        <v>42515.995636574073</v>
      </c>
      <c r="Q2209" s="16" t="s">
        <v>146</v>
      </c>
      <c r="R2209" s="17" t="s">
        <v>7586</v>
      </c>
      <c r="S2209" s="12"/>
      <c r="T2209" s="12"/>
      <c r="U2209" s="10" t="str">
        <f>HYPERLINK("https://pbs.twimg.com/profile_images/926407059364634625/ol2VgR_O.jpg","View")</f>
        <v>View</v>
      </c>
    </row>
    <row r="2210" spans="1:21" ht="40.799999999999997">
      <c r="A2210" s="6">
        <v>43436.682106481487</v>
      </c>
      <c r="B2210" s="7" t="str">
        <f>HYPERLINK("https://twitter.com/BETTYGALAICA","@BETTYGALAICA")</f>
        <v>@BETTYGALAICA</v>
      </c>
      <c r="C2210" s="8" t="s">
        <v>7587</v>
      </c>
      <c r="D2210" s="9" t="s">
        <v>7588</v>
      </c>
      <c r="E2210" s="10" t="str">
        <f>HYPERLINK("https://twitter.com/BETTYGALAICA/status/1069250392817639424","1069250392817639424")</f>
        <v>1069250392817639424</v>
      </c>
      <c r="F2210" s="11" t="s">
        <v>4962</v>
      </c>
      <c r="G2210" s="12"/>
      <c r="H2210" s="12"/>
      <c r="I2210" s="13">
        <v>0</v>
      </c>
      <c r="J2210" s="13">
        <v>1</v>
      </c>
      <c r="K2210" s="14" t="str">
        <f>HYPERLINK("http://www.facebook.com/twitter","Facebook")</f>
        <v>Facebook</v>
      </c>
      <c r="L2210" s="13">
        <v>18</v>
      </c>
      <c r="M2210" s="13">
        <v>44</v>
      </c>
      <c r="N2210" s="13">
        <v>1</v>
      </c>
      <c r="O2210" s="15"/>
      <c r="P2210" s="6">
        <v>40683.984143518523</v>
      </c>
      <c r="Q2210" s="16" t="s">
        <v>1463</v>
      </c>
      <c r="R2210" s="17" t="s">
        <v>7589</v>
      </c>
      <c r="S2210" s="11" t="s">
        <v>7590</v>
      </c>
      <c r="T2210" s="12"/>
      <c r="U2210" s="10" t="str">
        <f>HYPERLINK("https://pbs.twimg.com/profile_images/1017212997486424065/CrSRGk0A.jpg","View")</f>
        <v>View</v>
      </c>
    </row>
    <row r="2211" spans="1:21" ht="30.6">
      <c r="A2211" s="6">
        <v>43436.679236111115</v>
      </c>
      <c r="B2211" s="7" t="str">
        <f>HYPERLINK("https://twitter.com/fromeropaco","@fromeropaco")</f>
        <v>@fromeropaco</v>
      </c>
      <c r="C2211" s="8" t="s">
        <v>7591</v>
      </c>
      <c r="D2211" s="9" t="s">
        <v>7592</v>
      </c>
      <c r="E2211" s="10" t="str">
        <f>HYPERLINK("https://twitter.com/fromeropaco/status/1069249356719579136","1069249356719579136")</f>
        <v>1069249356719579136</v>
      </c>
      <c r="F2211" s="11" t="s">
        <v>7593</v>
      </c>
      <c r="G2211" s="11" t="s">
        <v>7594</v>
      </c>
      <c r="H2211" s="12"/>
      <c r="I2211" s="13">
        <v>0</v>
      </c>
      <c r="J2211" s="13">
        <v>0</v>
      </c>
      <c r="K2211" s="14" t="str">
        <f>HYPERLINK("https://dlvrit.com/","dlvr.it")</f>
        <v>dlvr.it</v>
      </c>
      <c r="L2211" s="13">
        <v>100</v>
      </c>
      <c r="M2211" s="13">
        <v>374</v>
      </c>
      <c r="N2211" s="13">
        <v>2</v>
      </c>
      <c r="O2211" s="15"/>
      <c r="P2211" s="6">
        <v>42989.653564814813</v>
      </c>
      <c r="Q2211" s="16" t="s">
        <v>30</v>
      </c>
      <c r="R2211" s="17" t="s">
        <v>7595</v>
      </c>
      <c r="S2211" s="12"/>
      <c r="T2211" s="12"/>
      <c r="U2211" s="10" t="str">
        <f>HYPERLINK("https://pbs.twimg.com/profile_images/931073900460564481/cvuLO-iT.jpg","View")</f>
        <v>View</v>
      </c>
    </row>
    <row r="2212" spans="1:21" ht="81.599999999999994">
      <c r="A2212" s="6">
        <v>43436.677743055552</v>
      </c>
      <c r="B2212" s="7" t="str">
        <f>HYPERLINK("https://twitter.com/comechenator","@comechenator")</f>
        <v>@comechenator</v>
      </c>
      <c r="C2212" s="8" t="s">
        <v>7596</v>
      </c>
      <c r="D2212" s="9" t="s">
        <v>7597</v>
      </c>
      <c r="E2212" s="10" t="str">
        <f>HYPERLINK("https://twitter.com/comechenator/status/1069248812445773824","1069248812445773824")</f>
        <v>1069248812445773824</v>
      </c>
      <c r="F2212" s="11" t="s">
        <v>7598</v>
      </c>
      <c r="G2212" s="12"/>
      <c r="H2212" s="12"/>
      <c r="I2212" s="13">
        <v>0</v>
      </c>
      <c r="J2212" s="13">
        <v>0</v>
      </c>
      <c r="K2212" s="14" t="str">
        <f>HYPERLINK("http://twitter.com/download/iphone","Twitter for iPhone")</f>
        <v>Twitter for iPhone</v>
      </c>
      <c r="L2212" s="13">
        <v>1254</v>
      </c>
      <c r="M2212" s="13">
        <v>356</v>
      </c>
      <c r="N2212" s="13">
        <v>74</v>
      </c>
      <c r="O2212" s="15"/>
      <c r="P2212" s="6">
        <v>40239.537060185183</v>
      </c>
      <c r="Q2212" s="16" t="s">
        <v>7599</v>
      </c>
      <c r="R2212" s="17" t="s">
        <v>7600</v>
      </c>
      <c r="S2212" s="11" t="s">
        <v>7601</v>
      </c>
      <c r="T2212" s="12"/>
      <c r="U2212" s="10" t="str">
        <f>HYPERLINK("https://pbs.twimg.com/profile_images/1056259821295583233/E7ddD2ts.jpg","View")</f>
        <v>View</v>
      </c>
    </row>
    <row r="2213" spans="1:21" ht="20.399999999999999">
      <c r="A2213" s="6">
        <v>43436.673668981486</v>
      </c>
      <c r="B2213" s="7" t="str">
        <f>HYPERLINK("https://twitter.com/pableninn","@pableninn")</f>
        <v>@pableninn</v>
      </c>
      <c r="C2213" s="8" t="s">
        <v>7602</v>
      </c>
      <c r="D2213" s="9" t="s">
        <v>7592</v>
      </c>
      <c r="E2213" s="10" t="str">
        <f>HYPERLINK("https://twitter.com/pableninn/status/1069247336801390592","1069247336801390592")</f>
        <v>1069247336801390592</v>
      </c>
      <c r="F2213" s="11" t="s">
        <v>7603</v>
      </c>
      <c r="G2213" s="11" t="s">
        <v>7604</v>
      </c>
      <c r="H2213" s="12"/>
      <c r="I2213" s="13">
        <v>0</v>
      </c>
      <c r="J2213" s="13">
        <v>0</v>
      </c>
      <c r="K2213" s="14" t="str">
        <f>HYPERLINK("https://dlvrit.com/","dlvr.it")</f>
        <v>dlvr.it</v>
      </c>
      <c r="L2213" s="13">
        <v>410</v>
      </c>
      <c r="M2213" s="13">
        <v>2780</v>
      </c>
      <c r="N2213" s="13">
        <v>4</v>
      </c>
      <c r="O2213" s="15"/>
      <c r="P2213" s="6">
        <v>42821.559016203704</v>
      </c>
      <c r="Q2213" s="12"/>
      <c r="R2213" s="20"/>
      <c r="S2213" s="12"/>
      <c r="T2213" s="12"/>
      <c r="U2213" s="10" t="str">
        <f>HYPERLINK("https://pbs.twimg.com/profile_images/846327765121011714/fTE1mBtG.jpg","View")</f>
        <v>View</v>
      </c>
    </row>
    <row r="2214" spans="1:21" ht="61.2">
      <c r="A2214" s="6">
        <v>43436.672476851847</v>
      </c>
      <c r="B2214" s="7" t="str">
        <f>HYPERLINK("https://twitter.com/BaratoDeVerdad","@BaratoDeVerdad")</f>
        <v>@BaratoDeVerdad</v>
      </c>
      <c r="C2214" s="8" t="s">
        <v>7605</v>
      </c>
      <c r="D2214" s="9" t="s">
        <v>7606</v>
      </c>
      <c r="E2214" s="10" t="str">
        <f>HYPERLINK("https://twitter.com/BaratoDeVerdad/status/1069246904339492867","1069246904339492867")</f>
        <v>1069246904339492867</v>
      </c>
      <c r="F2214" s="11" t="s">
        <v>7607</v>
      </c>
      <c r="G2214" s="11" t="s">
        <v>7608</v>
      </c>
      <c r="H2214" s="12"/>
      <c r="I2214" s="13">
        <v>0</v>
      </c>
      <c r="J2214" s="13">
        <v>1</v>
      </c>
      <c r="K2214" s="14" t="str">
        <f>HYPERLINK("http://twitter.com","Twitter Web Client")</f>
        <v>Twitter Web Client</v>
      </c>
      <c r="L2214" s="13">
        <v>1209</v>
      </c>
      <c r="M2214" s="13">
        <v>3860</v>
      </c>
      <c r="N2214" s="13">
        <v>177</v>
      </c>
      <c r="O2214" s="15"/>
      <c r="P2214" s="6">
        <v>42067.023773148147</v>
      </c>
      <c r="Q2214" s="16" t="s">
        <v>48</v>
      </c>
      <c r="R2214" s="17" t="s">
        <v>7609</v>
      </c>
      <c r="S2214" s="12"/>
      <c r="T2214" s="12"/>
      <c r="U2214" s="10" t="str">
        <f>HYPERLINK("https://pbs.twimg.com/profile_images/920968157510160384/yu3idIz4.jpg","View")</f>
        <v>View</v>
      </c>
    </row>
    <row r="2215" spans="1:21" ht="51">
      <c r="A2215" s="6">
        <v>43436.66783564815</v>
      </c>
      <c r="B2215" s="7" t="str">
        <f>HYPERLINK("https://twitter.com/galeno1982","@galeno1982")</f>
        <v>@galeno1982</v>
      </c>
      <c r="C2215" s="8" t="s">
        <v>7610</v>
      </c>
      <c r="D2215" s="9" t="s">
        <v>7611</v>
      </c>
      <c r="E2215" s="10" t="str">
        <f>HYPERLINK("https://twitter.com/galeno1982/status/1069245224172625921","1069245224172625921")</f>
        <v>1069245224172625921</v>
      </c>
      <c r="F2215" s="12"/>
      <c r="G2215" s="12"/>
      <c r="H2215" s="12"/>
      <c r="I2215" s="13">
        <v>0</v>
      </c>
      <c r="J2215" s="13">
        <v>1</v>
      </c>
      <c r="K2215" s="14" t="str">
        <f>HYPERLINK("http://twitter.com/download/android","Twitter for Android")</f>
        <v>Twitter for Android</v>
      </c>
      <c r="L2215" s="13">
        <v>4</v>
      </c>
      <c r="M2215" s="13">
        <v>18</v>
      </c>
      <c r="N2215" s="13">
        <v>0</v>
      </c>
      <c r="O2215" s="15"/>
      <c r="P2215" s="6">
        <v>41550.643680555557</v>
      </c>
      <c r="Q2215" s="12"/>
      <c r="R2215" s="17" t="s">
        <v>7612</v>
      </c>
      <c r="S2215" s="12"/>
      <c r="T2215" s="12"/>
      <c r="U2215" s="10" t="str">
        <f>HYPERLINK("https://pbs.twimg.com/profile_images/914408703465582592/_9h-SpFo.jpg","View")</f>
        <v>View</v>
      </c>
    </row>
    <row r="2216" spans="1:21" ht="30.6">
      <c r="A2216" s="6">
        <v>43436.666666666672</v>
      </c>
      <c r="B2216" s="7" t="str">
        <f>HYPERLINK("https://twitter.com/los_replicantes","@los_replicantes")</f>
        <v>@los_replicantes</v>
      </c>
      <c r="C2216" s="8" t="s">
        <v>5527</v>
      </c>
      <c r="D2216" s="9" t="s">
        <v>7613</v>
      </c>
      <c r="E2216" s="10" t="str">
        <f>HYPERLINK("https://twitter.com/los_replicantes/status/1069244800048791554","1069244800048791554")</f>
        <v>1069244800048791554</v>
      </c>
      <c r="F2216" s="11" t="s">
        <v>7614</v>
      </c>
      <c r="G2216" s="11" t="s">
        <v>7615</v>
      </c>
      <c r="H2216" s="12"/>
      <c r="I2216" s="13">
        <v>2</v>
      </c>
      <c r="J2216" s="13">
        <v>2</v>
      </c>
      <c r="K2216" s="14" t="str">
        <f>HYPERLINK("https://about.twitter.com/products/tweetdeck","TweetDeck")</f>
        <v>TweetDeck</v>
      </c>
      <c r="L2216" s="13">
        <v>11882</v>
      </c>
      <c r="M2216" s="13">
        <v>271</v>
      </c>
      <c r="N2216" s="13">
        <v>223</v>
      </c>
      <c r="O2216" s="15"/>
      <c r="P2216" s="6">
        <v>40252.517604166671</v>
      </c>
      <c r="Q2216" s="12"/>
      <c r="R2216" s="17" t="s">
        <v>5531</v>
      </c>
      <c r="S2216" s="11" t="s">
        <v>5532</v>
      </c>
      <c r="T2216" s="12"/>
      <c r="U2216" s="10" t="str">
        <f>HYPERLINK("https://pbs.twimg.com/profile_images/1018872125698998272/CSELtZwH.jpg","View")</f>
        <v>View</v>
      </c>
    </row>
    <row r="2217" spans="1:21" ht="20.399999999999999">
      <c r="A2217" s="6">
        <v>43436.660891203705</v>
      </c>
      <c r="B2217" s="7" t="str">
        <f>HYPERLINK("https://twitter.com/juancarlosgj09","@juancarlosgj09")</f>
        <v>@juancarlosgj09</v>
      </c>
      <c r="C2217" s="8" t="s">
        <v>7616</v>
      </c>
      <c r="D2217" s="9" t="s">
        <v>7617</v>
      </c>
      <c r="E2217" s="10" t="str">
        <f>HYPERLINK("https://twitter.com/juancarlosgj09/status/1069242706608693248","1069242706608693248")</f>
        <v>1069242706608693248</v>
      </c>
      <c r="F2217" s="12"/>
      <c r="G2217" s="12"/>
      <c r="H2217" s="12"/>
      <c r="I2217" s="13">
        <v>0</v>
      </c>
      <c r="J2217" s="13">
        <v>0</v>
      </c>
      <c r="K2217" s="14" t="str">
        <f>HYPERLINK("http://twitter.com/download/iphone","Twitter for iPhone")</f>
        <v>Twitter for iPhone</v>
      </c>
      <c r="L2217" s="13">
        <v>624</v>
      </c>
      <c r="M2217" s="13">
        <v>295</v>
      </c>
      <c r="N2217" s="13">
        <v>7</v>
      </c>
      <c r="O2217" s="15"/>
      <c r="P2217" s="6">
        <v>41099.793090277773</v>
      </c>
      <c r="Q2217" s="16" t="s">
        <v>7618</v>
      </c>
      <c r="R2217" s="17" t="s">
        <v>7619</v>
      </c>
      <c r="S2217" s="12"/>
      <c r="T2217" s="12"/>
      <c r="U2217" s="10" t="str">
        <f>HYPERLINK("https://pbs.twimg.com/profile_images/1051511113077190657/lv_Mtf8f.jpg","View")</f>
        <v>View</v>
      </c>
    </row>
    <row r="2218" spans="1:21" ht="71.400000000000006">
      <c r="A2218" s="6">
        <v>43436.658402777779</v>
      </c>
      <c r="B2218" s="7" t="str">
        <f>HYPERLINK("https://twitter.com/Alberpinela98","@Alberpinela98")</f>
        <v>@Alberpinela98</v>
      </c>
      <c r="C2218" s="8" t="s">
        <v>7620</v>
      </c>
      <c r="D2218" s="9" t="s">
        <v>7621</v>
      </c>
      <c r="E2218" s="10" t="str">
        <f>HYPERLINK("https://twitter.com/Alberpinela98/status/1069241802962731009","1069241802962731009")</f>
        <v>1069241802962731009</v>
      </c>
      <c r="F2218" s="11" t="s">
        <v>7622</v>
      </c>
      <c r="G2218" s="11" t="s">
        <v>7623</v>
      </c>
      <c r="H2218" s="12"/>
      <c r="I2218" s="13">
        <v>0</v>
      </c>
      <c r="J2218" s="13">
        <v>3</v>
      </c>
      <c r="K2218" s="14" t="str">
        <f>HYPERLINK("http://twitter.com/download/android","Twitter for Android")</f>
        <v>Twitter for Android</v>
      </c>
      <c r="L2218" s="13">
        <v>515</v>
      </c>
      <c r="M2218" s="13">
        <v>364</v>
      </c>
      <c r="N2218" s="13">
        <v>1</v>
      </c>
      <c r="O2218" s="15"/>
      <c r="P2218" s="6">
        <v>40631.659537037034</v>
      </c>
      <c r="Q2218" s="16" t="s">
        <v>7624</v>
      </c>
      <c r="R2218" s="17" t="s">
        <v>7625</v>
      </c>
      <c r="S2218" s="11" t="s">
        <v>7626</v>
      </c>
      <c r="T2218" s="12"/>
      <c r="U2218" s="10" t="str">
        <f>HYPERLINK("https://pbs.twimg.com/profile_images/1045028751581564929/emRgjDtE.jpg","View")</f>
        <v>View</v>
      </c>
    </row>
    <row r="2219" spans="1:21" ht="40.799999999999997">
      <c r="A2219" s="6">
        <v>43436.658159722225</v>
      </c>
      <c r="B2219" s="7" t="str">
        <f>HYPERLINK("https://twitter.com/hippiepirata","@hippiepirata")</f>
        <v>@hippiepirata</v>
      </c>
      <c r="C2219" s="8" t="s">
        <v>7627</v>
      </c>
      <c r="D2219" s="9" t="s">
        <v>7628</v>
      </c>
      <c r="E2219" s="10" t="str">
        <f>HYPERLINK("https://twitter.com/hippiepirata/status/1069241716325195779","1069241716325195779")</f>
        <v>1069241716325195779</v>
      </c>
      <c r="F2219" s="11" t="s">
        <v>7629</v>
      </c>
      <c r="G2219" s="11" t="s">
        <v>7630</v>
      </c>
      <c r="H2219" s="12"/>
      <c r="I2219" s="13">
        <v>0</v>
      </c>
      <c r="J2219" s="13">
        <v>0</v>
      </c>
      <c r="K2219" s="14" t="str">
        <f>HYPERLINK("http://twitter.com","Twitter Web Client")</f>
        <v>Twitter Web Client</v>
      </c>
      <c r="L2219" s="13">
        <v>1149</v>
      </c>
      <c r="M2219" s="13">
        <v>1374</v>
      </c>
      <c r="N2219" s="13">
        <v>41</v>
      </c>
      <c r="O2219" s="15"/>
      <c r="P2219" s="6">
        <v>41111.865717592591</v>
      </c>
      <c r="Q2219" s="16" t="s">
        <v>4073</v>
      </c>
      <c r="R2219" s="17" t="s">
        <v>7631</v>
      </c>
      <c r="S2219" s="12"/>
      <c r="T2219" s="12"/>
      <c r="U2219" s="10" t="str">
        <f>HYPERLINK("https://pbs.twimg.com/profile_images/994249437202583553/ae9T3dr6.jpg","View")</f>
        <v>View</v>
      </c>
    </row>
    <row r="2220" spans="1:21" ht="20.399999999999999">
      <c r="A2220" s="6">
        <v>43436.657685185186</v>
      </c>
      <c r="B2220" s="7" t="str">
        <f>HYPERLINK("https://twitter.com/VikyFont","@VikyFont")</f>
        <v>@VikyFont</v>
      </c>
      <c r="C2220" s="8" t="s">
        <v>7632</v>
      </c>
      <c r="D2220" s="9" t="s">
        <v>7592</v>
      </c>
      <c r="E2220" s="10" t="str">
        <f>HYPERLINK("https://twitter.com/VikyFont/status/1069241545600057346","1069241545600057346")</f>
        <v>1069241545600057346</v>
      </c>
      <c r="F2220" s="11" t="s">
        <v>7633</v>
      </c>
      <c r="G2220" s="11" t="s">
        <v>7634</v>
      </c>
      <c r="H2220" s="12"/>
      <c r="I2220" s="13">
        <v>0</v>
      </c>
      <c r="J2220" s="13">
        <v>0</v>
      </c>
      <c r="K2220" s="14" t="str">
        <f>HYPERLINK("https://dlvrit.com/","dlvr.it")</f>
        <v>dlvr.it</v>
      </c>
      <c r="L2220" s="13">
        <v>142</v>
      </c>
      <c r="M2220" s="13">
        <v>23</v>
      </c>
      <c r="N2220" s="13">
        <v>3</v>
      </c>
      <c r="O2220" s="15"/>
      <c r="P2220" s="6">
        <v>42143.662800925929</v>
      </c>
      <c r="Q2220" s="16" t="s">
        <v>30</v>
      </c>
      <c r="R2220" s="17" t="s">
        <v>7635</v>
      </c>
      <c r="S2220" s="11" t="s">
        <v>7636</v>
      </c>
      <c r="T2220" s="12"/>
      <c r="U2220" s="10" t="str">
        <f>HYPERLINK("https://pbs.twimg.com/profile_images/600661139886858240/Ttnjxr7Z.jpg","View")</f>
        <v>View</v>
      </c>
    </row>
    <row r="2221" spans="1:21" ht="40.799999999999997">
      <c r="A2221" s="6">
        <v>43436.651365740741</v>
      </c>
      <c r="B2221" s="7" t="str">
        <f>HYPERLINK("https://twitter.com/bandarrita","@bandarrita")</f>
        <v>@bandarrita</v>
      </c>
      <c r="C2221" s="8" t="s">
        <v>7637</v>
      </c>
      <c r="D2221" s="9" t="s">
        <v>7638</v>
      </c>
      <c r="E2221" s="10" t="str">
        <f>HYPERLINK("https://twitter.com/bandarrita/status/1069239255216594945","1069239255216594945")</f>
        <v>1069239255216594945</v>
      </c>
      <c r="F2221" s="12"/>
      <c r="G2221" s="11" t="s">
        <v>7639</v>
      </c>
      <c r="H2221" s="12"/>
      <c r="I2221" s="13">
        <v>0</v>
      </c>
      <c r="J2221" s="13">
        <v>1</v>
      </c>
      <c r="K2221" s="14" t="str">
        <f>HYPERLINK("http://twitter.com/download/android","Twitter for Android")</f>
        <v>Twitter for Android</v>
      </c>
      <c r="L2221" s="13">
        <v>1957</v>
      </c>
      <c r="M2221" s="13">
        <v>666</v>
      </c>
      <c r="N2221" s="13">
        <v>57</v>
      </c>
      <c r="O2221" s="15"/>
      <c r="P2221" s="6">
        <v>40425.587337962963</v>
      </c>
      <c r="Q2221" s="12"/>
      <c r="R2221" s="17" t="s">
        <v>7640</v>
      </c>
      <c r="S2221" s="11" t="s">
        <v>7641</v>
      </c>
      <c r="T2221" s="12"/>
      <c r="U2221" s="10" t="str">
        <f>HYPERLINK("https://pbs.twimg.com/profile_images/1057883183990087680/6KlvyGZU.jpg","View")</f>
        <v>View</v>
      </c>
    </row>
    <row r="2222" spans="1:21" ht="40.799999999999997">
      <c r="A2222" s="6">
        <v>43436.650254629625</v>
      </c>
      <c r="B2222" s="7" t="str">
        <f>HYPERLINK("https://twitter.com/jmllg","@jmllg")</f>
        <v>@jmllg</v>
      </c>
      <c r="C2222" s="8" t="s">
        <v>6222</v>
      </c>
      <c r="D2222" s="9" t="s">
        <v>7642</v>
      </c>
      <c r="E2222" s="10" t="str">
        <f>HYPERLINK("https://twitter.com/jmllg/status/1069238850457952256","1069238850457952256")</f>
        <v>1069238850457952256</v>
      </c>
      <c r="F2222" s="11" t="s">
        <v>7497</v>
      </c>
      <c r="G2222" s="12"/>
      <c r="H2222" s="12"/>
      <c r="I2222" s="13">
        <v>0</v>
      </c>
      <c r="J2222" s="13">
        <v>0</v>
      </c>
      <c r="K2222" s="14" t="str">
        <f t="shared" ref="K2222:K2223" si="397">HYPERLINK("http://twitter.com","Twitter Web Client")</f>
        <v>Twitter Web Client</v>
      </c>
      <c r="L2222" s="13">
        <v>1357</v>
      </c>
      <c r="M2222" s="13">
        <v>1841</v>
      </c>
      <c r="N2222" s="13">
        <v>50</v>
      </c>
      <c r="O2222" s="15"/>
      <c r="P2222" s="6">
        <v>40134.773657407408</v>
      </c>
      <c r="Q2222" s="16" t="s">
        <v>6225</v>
      </c>
      <c r="R2222" s="17" t="s">
        <v>6226</v>
      </c>
      <c r="S2222" s="11" t="s">
        <v>6229</v>
      </c>
      <c r="T2222" s="12"/>
      <c r="U2222" s="10" t="str">
        <f>HYPERLINK("https://pbs.twimg.com/profile_images/538095104217849856/yoxKOp7h.jpeg","View")</f>
        <v>View</v>
      </c>
    </row>
    <row r="2223" spans="1:21" ht="51">
      <c r="A2223" s="6">
        <v>43436.648379629631</v>
      </c>
      <c r="B2223" s="7" t="str">
        <f>HYPERLINK("https://twitter.com/ancabocristiano","@ancabocristiano")</f>
        <v>@ancabocristiano</v>
      </c>
      <c r="C2223" s="8" t="s">
        <v>7643</v>
      </c>
      <c r="D2223" s="9" t="s">
        <v>7644</v>
      </c>
      <c r="E2223" s="10" t="str">
        <f>HYPERLINK("https://twitter.com/ancabocristiano/status/1069238172356349953","1069238172356349953")</f>
        <v>1069238172356349953</v>
      </c>
      <c r="F2223" s="11" t="s">
        <v>7645</v>
      </c>
      <c r="G2223" s="12"/>
      <c r="H2223" s="12"/>
      <c r="I2223" s="13">
        <v>0</v>
      </c>
      <c r="J2223" s="13">
        <v>0</v>
      </c>
      <c r="K2223" s="14" t="str">
        <f t="shared" si="397"/>
        <v>Twitter Web Client</v>
      </c>
      <c r="L2223" s="13">
        <v>723</v>
      </c>
      <c r="M2223" s="13">
        <v>1175</v>
      </c>
      <c r="N2223" s="13">
        <v>16</v>
      </c>
      <c r="O2223" s="15"/>
      <c r="P2223" s="6">
        <v>40589.012638888889</v>
      </c>
      <c r="Q2223" s="16" t="s">
        <v>7646</v>
      </c>
      <c r="R2223" s="17" t="s">
        <v>7647</v>
      </c>
      <c r="S2223" s="12"/>
      <c r="T2223" s="12"/>
      <c r="U2223" s="10" t="str">
        <f>HYPERLINK("https://pbs.twimg.com/profile_images/1498277119/Antonio_Twiter.JPG","View")</f>
        <v>View</v>
      </c>
    </row>
    <row r="2224" spans="1:21" ht="30.6">
      <c r="A2224" s="6">
        <v>43436.641793981486</v>
      </c>
      <c r="B2224" s="7" t="str">
        <f>HYPERLINK("https://twitter.com/hugoB_B","@hugoB_B")</f>
        <v>@hugoB_B</v>
      </c>
      <c r="C2224" s="8" t="s">
        <v>7648</v>
      </c>
      <c r="D2224" s="9" t="s">
        <v>7649</v>
      </c>
      <c r="E2224" s="10" t="str">
        <f>HYPERLINK("https://twitter.com/hugoB_B/status/1069235785243795456","1069235785243795456")</f>
        <v>1069235785243795456</v>
      </c>
      <c r="F2224" s="11" t="s">
        <v>7425</v>
      </c>
      <c r="G2224" s="11" t="s">
        <v>7426</v>
      </c>
      <c r="H2224" s="12"/>
      <c r="I2224" s="13">
        <v>0</v>
      </c>
      <c r="J2224" s="13">
        <v>3</v>
      </c>
      <c r="K2224" s="14" t="str">
        <f t="shared" ref="K2224:K2225" si="398">HYPERLINK("http://twitter.com/download/android","Twitter for Android")</f>
        <v>Twitter for Android</v>
      </c>
      <c r="L2224" s="13">
        <v>326</v>
      </c>
      <c r="M2224" s="13">
        <v>408</v>
      </c>
      <c r="N2224" s="13">
        <v>9</v>
      </c>
      <c r="O2224" s="15"/>
      <c r="P2224" s="6">
        <v>40738.104502314818</v>
      </c>
      <c r="Q2224" s="16" t="s">
        <v>7650</v>
      </c>
      <c r="R2224" s="17" t="s">
        <v>7651</v>
      </c>
      <c r="S2224" s="11" t="s">
        <v>7652</v>
      </c>
      <c r="T2224" s="12"/>
      <c r="U2224" s="10" t="str">
        <f>HYPERLINK("https://pbs.twimg.com/profile_images/1046646312568049664/XIBICjGg.jpg","View")</f>
        <v>View</v>
      </c>
    </row>
    <row r="2225" spans="1:21" ht="30.6">
      <c r="A2225" s="6">
        <v>43436.641412037032</v>
      </c>
      <c r="B2225" s="7" t="str">
        <f>HYPERLINK("https://twitter.com/CarroJordi","@CarroJordi")</f>
        <v>@CarroJordi</v>
      </c>
      <c r="C2225" s="8" t="s">
        <v>7653</v>
      </c>
      <c r="D2225" s="9" t="s">
        <v>7654</v>
      </c>
      <c r="E2225" s="10" t="str">
        <f>HYPERLINK("https://twitter.com/CarroJordi/status/1069235645657300994","1069235645657300994")</f>
        <v>1069235645657300994</v>
      </c>
      <c r="F2225" s="12"/>
      <c r="G2225" s="12"/>
      <c r="H2225" s="12"/>
      <c r="I2225" s="13">
        <v>2</v>
      </c>
      <c r="J2225" s="13">
        <v>6</v>
      </c>
      <c r="K2225" s="14" t="str">
        <f t="shared" si="398"/>
        <v>Twitter for Android</v>
      </c>
      <c r="L2225" s="13">
        <v>8</v>
      </c>
      <c r="M2225" s="13">
        <v>11</v>
      </c>
      <c r="N2225" s="13">
        <v>0</v>
      </c>
      <c r="O2225" s="15"/>
      <c r="P2225" s="6">
        <v>43297.849490740744</v>
      </c>
      <c r="Q2225" s="12"/>
      <c r="R2225" s="20"/>
      <c r="S2225" s="12"/>
      <c r="T2225" s="12"/>
      <c r="U2225" s="10" t="str">
        <f>HYPERLINK("https://pbs.twimg.com/profile_images/1030756434462625792/OnHKKGcE.jpg","View")</f>
        <v>View</v>
      </c>
    </row>
    <row r="2226" spans="1:21" ht="51">
      <c r="A2226" s="6">
        <v>43436.641238425931</v>
      </c>
      <c r="B2226" s="7" t="str">
        <f>HYPERLINK("https://twitter.com/brubeaker","@brubeaker")</f>
        <v>@brubeaker</v>
      </c>
      <c r="C2226" s="8" t="s">
        <v>1205</v>
      </c>
      <c r="D2226" s="9" t="s">
        <v>7655</v>
      </c>
      <c r="E2226" s="10" t="str">
        <f>HYPERLINK("https://twitter.com/brubeaker/status/1069235586039468033","1069235586039468033")</f>
        <v>1069235586039468033</v>
      </c>
      <c r="F2226" s="12"/>
      <c r="G2226" s="12"/>
      <c r="H2226" s="12"/>
      <c r="I2226" s="13">
        <v>1</v>
      </c>
      <c r="J2226" s="13">
        <v>1</v>
      </c>
      <c r="K2226" s="14" t="str">
        <f>HYPERLINK("http://twitter.com","Twitter Web Client")</f>
        <v>Twitter Web Client</v>
      </c>
      <c r="L2226" s="13">
        <v>38</v>
      </c>
      <c r="M2226" s="13">
        <v>164</v>
      </c>
      <c r="N2226" s="13">
        <v>2</v>
      </c>
      <c r="O2226" s="15"/>
      <c r="P2226" s="6">
        <v>41780.336550925924</v>
      </c>
      <c r="Q2226" s="12"/>
      <c r="R2226" s="17" t="s">
        <v>1207</v>
      </c>
      <c r="S2226" s="12"/>
      <c r="T2226" s="12"/>
      <c r="U2226" s="10" t="str">
        <f>HYPERLINK("https://pbs.twimg.com/profile_images/1036025081179332608/VWYH9QdS.jpg","View")</f>
        <v>View</v>
      </c>
    </row>
    <row r="2227" spans="1:21" ht="61.2">
      <c r="A2227" s="6">
        <v>43436.641076388885</v>
      </c>
      <c r="B2227" s="7" t="str">
        <f>HYPERLINK("https://twitter.com/TristVillalba","@TristVillalba")</f>
        <v>@TristVillalba</v>
      </c>
      <c r="C2227" s="8" t="s">
        <v>7656</v>
      </c>
      <c r="D2227" s="9" t="s">
        <v>7657</v>
      </c>
      <c r="E2227" s="10" t="str">
        <f>HYPERLINK("https://twitter.com/TristVillalba/status/1069235527122063367","1069235527122063367")</f>
        <v>1069235527122063367</v>
      </c>
      <c r="F2227" s="12"/>
      <c r="G2227" s="12"/>
      <c r="H2227" s="12"/>
      <c r="I2227" s="13">
        <v>1</v>
      </c>
      <c r="J2227" s="13">
        <v>1</v>
      </c>
      <c r="K2227" s="14" t="str">
        <f t="shared" ref="K2227:K2228" si="399">HYPERLINK("http://twitter.com/download/android","Twitter for Android")</f>
        <v>Twitter for Android</v>
      </c>
      <c r="L2227" s="13">
        <v>413</v>
      </c>
      <c r="M2227" s="13">
        <v>563</v>
      </c>
      <c r="N2227" s="13">
        <v>7</v>
      </c>
      <c r="O2227" s="15"/>
      <c r="P2227" s="6">
        <v>40653.482546296298</v>
      </c>
      <c r="Q2227" s="16" t="s">
        <v>7658</v>
      </c>
      <c r="R2227" s="17" t="s">
        <v>7659</v>
      </c>
      <c r="S2227" s="12"/>
      <c r="T2227" s="12"/>
      <c r="U2227" s="10" t="str">
        <f>HYPERLINK("https://pbs.twimg.com/profile_images/1026905973716393987/eVGLmQFj.jpg","View")</f>
        <v>View</v>
      </c>
    </row>
    <row r="2228" spans="1:21" ht="30.6">
      <c r="A2228" s="6">
        <v>43436.640856481477</v>
      </c>
      <c r="B2228" s="7" t="str">
        <f>HYPERLINK("https://twitter.com/arda_cerelz","@arda_cerelz")</f>
        <v>@arda_cerelz</v>
      </c>
      <c r="C2228" s="8" t="s">
        <v>7660</v>
      </c>
      <c r="D2228" s="9" t="s">
        <v>7661</v>
      </c>
      <c r="E2228" s="10" t="str">
        <f>HYPERLINK("https://twitter.com/arda_cerelz/status/1069235445190590469","1069235445190590469")</f>
        <v>1069235445190590469</v>
      </c>
      <c r="F2228" s="11" t="s">
        <v>7425</v>
      </c>
      <c r="G2228" s="11" t="s">
        <v>7426</v>
      </c>
      <c r="H2228" s="12"/>
      <c r="I2228" s="13">
        <v>0</v>
      </c>
      <c r="J2228" s="13">
        <v>0</v>
      </c>
      <c r="K2228" s="14" t="str">
        <f t="shared" si="399"/>
        <v>Twitter for Android</v>
      </c>
      <c r="L2228" s="13">
        <v>88</v>
      </c>
      <c r="M2228" s="13">
        <v>330</v>
      </c>
      <c r="N2228" s="13">
        <v>0</v>
      </c>
      <c r="O2228" s="15"/>
      <c r="P2228" s="6">
        <v>42613.527557870373</v>
      </c>
      <c r="Q2228" s="16" t="s">
        <v>4368</v>
      </c>
      <c r="R2228" s="17" t="s">
        <v>7662</v>
      </c>
      <c r="S2228" s="12"/>
      <c r="T2228" s="12"/>
      <c r="U2228" s="10" t="str">
        <f>HYPERLINK("https://pbs.twimg.com/profile_images/1065545366853038081/e2a4Ov7Z.jpg","View")</f>
        <v>View</v>
      </c>
    </row>
    <row r="2229" spans="1:21" ht="40.799999999999997">
      <c r="A2229" s="6">
        <v>43436.640104166669</v>
      </c>
      <c r="B2229" s="7" t="str">
        <f>HYPERLINK("https://twitter.com/MartiMatinA","@MartiMatinA")</f>
        <v>@MartiMatinA</v>
      </c>
      <c r="C2229" s="8" t="s">
        <v>7663</v>
      </c>
      <c r="D2229" s="9" t="s">
        <v>7664</v>
      </c>
      <c r="E2229" s="10" t="str">
        <f>HYPERLINK("https://twitter.com/MartiMatinA/status/1069235172606910464","1069235172606910464")</f>
        <v>1069235172606910464</v>
      </c>
      <c r="F2229" s="11" t="s">
        <v>7665</v>
      </c>
      <c r="G2229" s="12"/>
      <c r="H2229" s="12"/>
      <c r="I2229" s="13">
        <v>2</v>
      </c>
      <c r="J2229" s="13">
        <v>1</v>
      </c>
      <c r="K2229" s="14" t="str">
        <f t="shared" ref="K2229:K2230" si="400">HYPERLINK("http://twitter.com","Twitter Web Client")</f>
        <v>Twitter Web Client</v>
      </c>
      <c r="L2229" s="13">
        <v>232</v>
      </c>
      <c r="M2229" s="13">
        <v>86</v>
      </c>
      <c r="N2229" s="13">
        <v>6</v>
      </c>
      <c r="O2229" s="15"/>
      <c r="P2229" s="6">
        <v>41922.886365740742</v>
      </c>
      <c r="Q2229" s="12"/>
      <c r="R2229" s="17" t="s">
        <v>7666</v>
      </c>
      <c r="S2229" s="11" t="s">
        <v>7667</v>
      </c>
      <c r="T2229" s="12"/>
      <c r="U2229" s="10" t="str">
        <f>HYPERLINK("https://pbs.twimg.com/profile_images/520717024817721344/JCnydvj_.jpeg","View")</f>
        <v>View</v>
      </c>
    </row>
    <row r="2230" spans="1:21" ht="20.399999999999999">
      <c r="A2230" s="6">
        <v>43436.635659722218</v>
      </c>
      <c r="B2230" s="7" t="str">
        <f>HYPERLINK("https://twitter.com/viross222","@viross222")</f>
        <v>@viross222</v>
      </c>
      <c r="C2230" s="8" t="s">
        <v>7523</v>
      </c>
      <c r="D2230" s="9" t="s">
        <v>7668</v>
      </c>
      <c r="E2230" s="10" t="str">
        <f>HYPERLINK("https://twitter.com/viross222/status/1069233563894194178","1069233563894194178")</f>
        <v>1069233563894194178</v>
      </c>
      <c r="F2230" s="11" t="s">
        <v>7497</v>
      </c>
      <c r="G2230" s="12"/>
      <c r="H2230" s="12"/>
      <c r="I2230" s="13">
        <v>0</v>
      </c>
      <c r="J2230" s="13">
        <v>0</v>
      </c>
      <c r="K2230" s="14" t="str">
        <f t="shared" si="400"/>
        <v>Twitter Web Client</v>
      </c>
      <c r="L2230" s="13">
        <v>3530</v>
      </c>
      <c r="M2230" s="13">
        <v>3115</v>
      </c>
      <c r="N2230" s="13">
        <v>303</v>
      </c>
      <c r="O2230" s="15"/>
      <c r="P2230" s="6">
        <v>41220.917384259257</v>
      </c>
      <c r="Q2230" s="16" t="s">
        <v>191</v>
      </c>
      <c r="R2230" s="17" t="s">
        <v>7525</v>
      </c>
      <c r="S2230" s="11" t="s">
        <v>7526</v>
      </c>
      <c r="T2230" s="12"/>
      <c r="U2230" s="10" t="str">
        <f>HYPERLINK("https://pbs.twimg.com/profile_images/1070449178466230273/P6-_3Gzg.jpg","View")</f>
        <v>View</v>
      </c>
    </row>
    <row r="2231" spans="1:21" ht="20.399999999999999">
      <c r="A2231" s="6">
        <v>43436.632025462968</v>
      </c>
      <c r="B2231" s="7" t="str">
        <f>HYPERLINK("https://twitter.com/KartingRoad","@KartingRoad")</f>
        <v>@KartingRoad</v>
      </c>
      <c r="C2231" s="8" t="s">
        <v>7669</v>
      </c>
      <c r="D2231" s="9" t="s">
        <v>7592</v>
      </c>
      <c r="E2231" s="10" t="str">
        <f>HYPERLINK("https://twitter.com/KartingRoad/status/1069232244575924224","1069232244575924224")</f>
        <v>1069232244575924224</v>
      </c>
      <c r="F2231" s="11" t="s">
        <v>7100</v>
      </c>
      <c r="G2231" s="12"/>
      <c r="H2231" s="12"/>
      <c r="I2231" s="13">
        <v>0</v>
      </c>
      <c r="J2231" s="13">
        <v>0</v>
      </c>
      <c r="K2231" s="14" t="str">
        <f>HYPERLINK("http://www.facebook.com/twitter","Facebook")</f>
        <v>Facebook</v>
      </c>
      <c r="L2231" s="13">
        <v>1108</v>
      </c>
      <c r="M2231" s="13">
        <v>1987</v>
      </c>
      <c r="N2231" s="13">
        <v>0</v>
      </c>
      <c r="O2231" s="15"/>
      <c r="P2231" s="6">
        <v>43330.604108796295</v>
      </c>
      <c r="Q2231" s="16" t="s">
        <v>48</v>
      </c>
      <c r="R2231" s="17" t="s">
        <v>7670</v>
      </c>
      <c r="S2231" s="12"/>
      <c r="T2231" s="12"/>
      <c r="U2231" s="10" t="str">
        <f>HYPERLINK("https://pbs.twimg.com/profile_images/1057951732104421377/jlb4BtPR.jpg","View")</f>
        <v>View</v>
      </c>
    </row>
    <row r="2232" spans="1:21" ht="30.6">
      <c r="A2232" s="6">
        <v>43436.628969907411</v>
      </c>
      <c r="B2232" s="7" t="str">
        <f>HYPERLINK("https://twitter.com/AguasNeutrales","@AguasNeutrales")</f>
        <v>@AguasNeutrales</v>
      </c>
      <c r="C2232" s="8" t="s">
        <v>2862</v>
      </c>
      <c r="D2232" s="9" t="s">
        <v>7671</v>
      </c>
      <c r="E2232" s="10" t="str">
        <f>HYPERLINK("https://twitter.com/AguasNeutrales/status/1069231138663735296","1069231138663735296")</f>
        <v>1069231138663735296</v>
      </c>
      <c r="F2232" s="11" t="s">
        <v>7672</v>
      </c>
      <c r="G2232" s="11" t="s">
        <v>7673</v>
      </c>
      <c r="H2232" s="12"/>
      <c r="I2232" s="13">
        <v>0</v>
      </c>
      <c r="J2232" s="13">
        <v>0</v>
      </c>
      <c r="K2232" s="14" t="str">
        <f>HYPERLINK("http://twitter.com","Twitter Web Client")</f>
        <v>Twitter Web Client</v>
      </c>
      <c r="L2232" s="13">
        <v>928</v>
      </c>
      <c r="M2232" s="13">
        <v>1614</v>
      </c>
      <c r="N2232" s="13">
        <v>7</v>
      </c>
      <c r="O2232" s="15"/>
      <c r="P2232" s="6">
        <v>41802.302615740744</v>
      </c>
      <c r="Q2232" s="12"/>
      <c r="R2232" s="17" t="s">
        <v>2866</v>
      </c>
      <c r="S2232" s="12"/>
      <c r="T2232" s="12"/>
      <c r="U2232" s="10" t="str">
        <f>HYPERLINK("https://pbs.twimg.com/profile_images/1008462024282689536/Q3Z1dTgf.jpg","View")</f>
        <v>View</v>
      </c>
    </row>
    <row r="2233" spans="1:21" ht="20.399999999999999">
      <c r="A2233" s="6">
        <v>43436.621863425928</v>
      </c>
      <c r="B2233" s="7" t="str">
        <f>HYPERLINK("https://twitter.com/andres_xrz","@andres_xrz")</f>
        <v>@andres_xrz</v>
      </c>
      <c r="C2233" s="8" t="s">
        <v>7674</v>
      </c>
      <c r="D2233" s="9" t="s">
        <v>7675</v>
      </c>
      <c r="E2233" s="10" t="str">
        <f>HYPERLINK("https://twitter.com/andres_xrz/status/1069228563990224898","1069228563990224898")</f>
        <v>1069228563990224898</v>
      </c>
      <c r="F2233" s="12"/>
      <c r="G2233" s="12"/>
      <c r="H2233" s="12"/>
      <c r="I2233" s="13">
        <v>0</v>
      </c>
      <c r="J2233" s="13">
        <v>0</v>
      </c>
      <c r="K2233" s="14" t="str">
        <f>HYPERLINK("http://twitter.com/download/android","Twitter for Android")</f>
        <v>Twitter for Android</v>
      </c>
      <c r="L2233" s="13">
        <v>284</v>
      </c>
      <c r="M2233" s="13">
        <v>321</v>
      </c>
      <c r="N2233" s="13">
        <v>12</v>
      </c>
      <c r="O2233" s="15"/>
      <c r="P2233" s="6">
        <v>40341.661481481482</v>
      </c>
      <c r="Q2233" s="16" t="s">
        <v>7676</v>
      </c>
      <c r="R2233" s="17" t="s">
        <v>7677</v>
      </c>
      <c r="S2233" s="12"/>
      <c r="T2233" s="12"/>
      <c r="U2233" s="10" t="str">
        <f>HYPERLINK("https://pbs.twimg.com/profile_images/815673859697471488/Ib0axTFq.jpg","View")</f>
        <v>View</v>
      </c>
    </row>
    <row r="2234" spans="1:21" ht="40.799999999999997">
      <c r="A2234" s="6">
        <v>43436.620451388888</v>
      </c>
      <c r="B2234" s="7" t="str">
        <f>HYPERLINK("https://twitter.com/PabloCheFLuna","@PabloCheFLuna")</f>
        <v>@PabloCheFLuna</v>
      </c>
      <c r="C2234" s="8" t="s">
        <v>7678</v>
      </c>
      <c r="D2234" s="9" t="s">
        <v>7679</v>
      </c>
      <c r="E2234" s="10" t="str">
        <f>HYPERLINK("https://twitter.com/PabloCheFLuna/status/1069228053384044544","1069228053384044544")</f>
        <v>1069228053384044544</v>
      </c>
      <c r="F2234" s="11" t="s">
        <v>7680</v>
      </c>
      <c r="G2234" s="12"/>
      <c r="H2234" s="12"/>
      <c r="I2234" s="13">
        <v>0</v>
      </c>
      <c r="J2234" s="13">
        <v>0</v>
      </c>
      <c r="K2234" s="14" t="str">
        <f>HYPERLINK("http://instagram.com","Instagram")</f>
        <v>Instagram</v>
      </c>
      <c r="L2234" s="13">
        <v>607</v>
      </c>
      <c r="M2234" s="13">
        <v>2149</v>
      </c>
      <c r="N2234" s="13">
        <v>4</v>
      </c>
      <c r="O2234" s="15"/>
      <c r="P2234" s="6">
        <v>41653.337696759263</v>
      </c>
      <c r="Q2234" s="12"/>
      <c r="R2234" s="17" t="s">
        <v>7681</v>
      </c>
      <c r="S2234" s="12"/>
      <c r="T2234" s="12"/>
      <c r="U2234" s="10" t="str">
        <f>HYPERLINK("https://pbs.twimg.com/profile_images/749520213390000129/Vo749lo6.jpg","View")</f>
        <v>View</v>
      </c>
    </row>
    <row r="2235" spans="1:21" ht="51">
      <c r="A2235" s="6">
        <v>43436.619942129633</v>
      </c>
      <c r="B2235" s="7" t="str">
        <f>HYPERLINK("https://twitter.com/zarasenda","@zarasenda")</f>
        <v>@zarasenda</v>
      </c>
      <c r="C2235" s="8" t="s">
        <v>7682</v>
      </c>
      <c r="D2235" s="9" t="s">
        <v>7683</v>
      </c>
      <c r="E2235" s="10" t="str">
        <f>HYPERLINK("https://twitter.com/zarasenda/status/1069227866758553603","1069227866758553603")</f>
        <v>1069227866758553603</v>
      </c>
      <c r="F2235" s="12"/>
      <c r="G2235" s="12"/>
      <c r="H2235" s="12"/>
      <c r="I2235" s="13">
        <v>1</v>
      </c>
      <c r="J2235" s="13">
        <v>1</v>
      </c>
      <c r="K2235" s="14" t="str">
        <f>HYPERLINK("http://twitter.com","Twitter Web Client")</f>
        <v>Twitter Web Client</v>
      </c>
      <c r="L2235" s="13">
        <v>1136</v>
      </c>
      <c r="M2235" s="13">
        <v>1862</v>
      </c>
      <c r="N2235" s="13">
        <v>32</v>
      </c>
      <c r="O2235" s="15"/>
      <c r="P2235" s="6">
        <v>40682.94390046296</v>
      </c>
      <c r="Q2235" s="16" t="s">
        <v>191</v>
      </c>
      <c r="R2235" s="17" t="s">
        <v>7684</v>
      </c>
      <c r="S2235" s="12"/>
      <c r="T2235" s="12"/>
      <c r="U2235" s="19" t="s">
        <v>359</v>
      </c>
    </row>
    <row r="2236" spans="1:21" ht="13.2">
      <c r="A2236" s="6">
        <v>43436.618854166663</v>
      </c>
      <c r="B2236" s="7" t="str">
        <f>HYPERLINK("https://twitter.com/LolaCarams","@LolaCarams")</f>
        <v>@LolaCarams</v>
      </c>
      <c r="C2236" s="8" t="s">
        <v>7685</v>
      </c>
      <c r="D2236" s="9" t="s">
        <v>7686</v>
      </c>
      <c r="E2236" s="10" t="str">
        <f>HYPERLINK("https://twitter.com/LolaCarams/status/1069227470887493633","1069227470887493633")</f>
        <v>1069227470887493633</v>
      </c>
      <c r="F2236" s="11" t="s">
        <v>7687</v>
      </c>
      <c r="G2236" s="12"/>
      <c r="H2236" s="12"/>
      <c r="I2236" s="13">
        <v>0</v>
      </c>
      <c r="J2236" s="13">
        <v>0</v>
      </c>
      <c r="K2236" s="14" t="str">
        <f>HYPERLINK("http://www.facebook.com/twitter","Facebook")</f>
        <v>Facebook</v>
      </c>
      <c r="L2236" s="13">
        <v>386</v>
      </c>
      <c r="M2236" s="13">
        <v>661</v>
      </c>
      <c r="N2236" s="13">
        <v>3</v>
      </c>
      <c r="O2236" s="15"/>
      <c r="P2236" s="6">
        <v>40828.013182870374</v>
      </c>
      <c r="Q2236" s="16" t="s">
        <v>7688</v>
      </c>
      <c r="R2236" s="17" t="s">
        <v>7689</v>
      </c>
      <c r="S2236" s="12"/>
      <c r="T2236" s="12"/>
      <c r="U2236" s="10" t="str">
        <f>HYPERLINK("https://pbs.twimg.com/profile_images/808285366377705474/Ckb5W79y.jpg","View")</f>
        <v>View</v>
      </c>
    </row>
    <row r="2237" spans="1:21" ht="20.399999999999999">
      <c r="A2237" s="6">
        <v>43436.618692129632</v>
      </c>
      <c r="B2237" s="7" t="str">
        <f>HYPERLINK("https://twitter.com/laurambtomaquet","@laurambtomaquet")</f>
        <v>@laurambtomaquet</v>
      </c>
      <c r="C2237" s="8" t="s">
        <v>7690</v>
      </c>
      <c r="D2237" s="9" t="s">
        <v>7691</v>
      </c>
      <c r="E2237" s="10" t="str">
        <f>HYPERLINK("https://twitter.com/laurambtomaquet/status/1069227415933734912","1069227415933734912")</f>
        <v>1069227415933734912</v>
      </c>
      <c r="F2237" s="12"/>
      <c r="G2237" s="12"/>
      <c r="H2237" s="12"/>
      <c r="I2237" s="13">
        <v>0</v>
      </c>
      <c r="J2237" s="13">
        <v>0</v>
      </c>
      <c r="K2237" s="14" t="str">
        <f>HYPERLINK("http://twitter.com/download/android","Twitter for Android")</f>
        <v>Twitter for Android</v>
      </c>
      <c r="L2237" s="13">
        <v>158</v>
      </c>
      <c r="M2237" s="13">
        <v>390</v>
      </c>
      <c r="N2237" s="13">
        <v>0</v>
      </c>
      <c r="O2237" s="15"/>
      <c r="P2237" s="6">
        <v>42554.12835648148</v>
      </c>
      <c r="Q2237" s="16" t="s">
        <v>7692</v>
      </c>
      <c r="R2237" s="17" t="s">
        <v>7693</v>
      </c>
      <c r="S2237" s="12"/>
      <c r="T2237" s="12"/>
      <c r="U2237" s="10" t="str">
        <f>HYPERLINK("https://pbs.twimg.com/profile_images/1064132773437456385/yhbB74ho.jpg","View")</f>
        <v>View</v>
      </c>
    </row>
    <row r="2238" spans="1:21" ht="20.399999999999999">
      <c r="A2238" s="6">
        <v>43436.616516203707</v>
      </c>
      <c r="B2238" s="7" t="str">
        <f>HYPERLINK("https://twitter.com/XoseLieiro","@XoseLieiro")</f>
        <v>@XoseLieiro</v>
      </c>
      <c r="C2238" s="8" t="s">
        <v>3854</v>
      </c>
      <c r="D2238" s="9" t="s">
        <v>7694</v>
      </c>
      <c r="E2238" s="10" t="str">
        <f>HYPERLINK("https://twitter.com/XoseLieiro/status/1069226624019763201","1069226624019763201")</f>
        <v>1069226624019763201</v>
      </c>
      <c r="F2238" s="11" t="s">
        <v>7100</v>
      </c>
      <c r="G2238" s="12"/>
      <c r="H2238" s="12"/>
      <c r="I2238" s="13">
        <v>0</v>
      </c>
      <c r="J2238" s="13">
        <v>0</v>
      </c>
      <c r="K2238" s="14" t="str">
        <f>HYPERLINK("http://twitter.com","Twitter Web Client")</f>
        <v>Twitter Web Client</v>
      </c>
      <c r="L2238" s="13">
        <v>147</v>
      </c>
      <c r="M2238" s="13">
        <v>129</v>
      </c>
      <c r="N2238" s="13">
        <v>19</v>
      </c>
      <c r="O2238" s="15"/>
      <c r="P2238" s="6">
        <v>40671.897164351853</v>
      </c>
      <c r="Q2238" s="16" t="s">
        <v>3856</v>
      </c>
      <c r="R2238" s="20"/>
      <c r="S2238" s="11" t="s">
        <v>3857</v>
      </c>
      <c r="T2238" s="12"/>
      <c r="U2238" s="10" t="str">
        <f>HYPERLINK("https://pbs.twimg.com/profile_images/431343830655193089/ui9kxaC5.jpeg","View")</f>
        <v>View</v>
      </c>
    </row>
    <row r="2239" spans="1:21" ht="13.2">
      <c r="A2239" s="6">
        <v>43436.608252314814</v>
      </c>
      <c r="B2239" s="7" t="str">
        <f>HYPERLINK("https://twitter.com/lechuzeta","@lechuzeta")</f>
        <v>@lechuzeta</v>
      </c>
      <c r="C2239" s="8" t="s">
        <v>7695</v>
      </c>
      <c r="D2239" s="9" t="s">
        <v>7696</v>
      </c>
      <c r="E2239" s="10" t="str">
        <f>HYPERLINK("https://twitter.com/lechuzeta/status/1069223632013008901","1069223632013008901")</f>
        <v>1069223632013008901</v>
      </c>
      <c r="F2239" s="11" t="s">
        <v>4371</v>
      </c>
      <c r="G2239" s="12"/>
      <c r="H2239" s="12"/>
      <c r="I2239" s="13">
        <v>0</v>
      </c>
      <c r="J2239" s="13">
        <v>0</v>
      </c>
      <c r="K2239" s="14" t="str">
        <f>HYPERLINK("http://twitter.com/download/android","Twitter for Android")</f>
        <v>Twitter for Android</v>
      </c>
      <c r="L2239" s="13">
        <v>2581</v>
      </c>
      <c r="M2239" s="13">
        <v>3292</v>
      </c>
      <c r="N2239" s="13">
        <v>47</v>
      </c>
      <c r="O2239" s="15"/>
      <c r="P2239" s="6">
        <v>41869.697245370371</v>
      </c>
      <c r="Q2239" s="16" t="s">
        <v>3187</v>
      </c>
      <c r="R2239" s="17" t="s">
        <v>7697</v>
      </c>
      <c r="S2239" s="11" t="s">
        <v>7698</v>
      </c>
      <c r="T2239" s="12"/>
      <c r="U2239" s="10" t="str">
        <f>HYPERLINK("https://pbs.twimg.com/profile_images/501385939197771776/wuK0x4a9.jpeg","View")</f>
        <v>View</v>
      </c>
    </row>
    <row r="2240" spans="1:21" ht="40.799999999999997">
      <c r="A2240" s="6">
        <v>43436.607939814814</v>
      </c>
      <c r="B2240" s="7" t="str">
        <f>HYPERLINK("https://twitter.com/LTelloM","@LTelloM")</f>
        <v>@LTelloM</v>
      </c>
      <c r="C2240" s="8" t="s">
        <v>7699</v>
      </c>
      <c r="D2240" s="9" t="s">
        <v>7700</v>
      </c>
      <c r="E2240" s="10" t="str">
        <f>HYPERLINK("https://twitter.com/LTelloM/status/1069223519660183553","1069223519660183553")</f>
        <v>1069223519660183553</v>
      </c>
      <c r="F2240" s="11" t="s">
        <v>7701</v>
      </c>
      <c r="G2240" s="12"/>
      <c r="H2240" s="12"/>
      <c r="I2240" s="13">
        <v>5</v>
      </c>
      <c r="J2240" s="13">
        <v>4</v>
      </c>
      <c r="K2240" s="14" t="str">
        <f>HYPERLINK("http://twitter.com/download/iphone","Twitter for iPhone")</f>
        <v>Twitter for iPhone</v>
      </c>
      <c r="L2240" s="13">
        <v>2712</v>
      </c>
      <c r="M2240" s="13">
        <v>2335</v>
      </c>
      <c r="N2240" s="13">
        <v>37</v>
      </c>
      <c r="O2240" s="15"/>
      <c r="P2240" s="6">
        <v>40666.819988425923</v>
      </c>
      <c r="Q2240" s="16" t="s">
        <v>7702</v>
      </c>
      <c r="R2240" s="17" t="s">
        <v>7703</v>
      </c>
      <c r="S2240" s="11" t="s">
        <v>7704</v>
      </c>
      <c r="T2240" s="12"/>
      <c r="U2240" s="10" t="str">
        <f>HYPERLINK("https://pbs.twimg.com/profile_images/843749961619701760/W-mit0CP.jpg","View")</f>
        <v>View</v>
      </c>
    </row>
    <row r="2241" spans="1:21" ht="51">
      <c r="A2241" s="6">
        <v>43436.607835648145</v>
      </c>
      <c r="B2241" s="7" t="str">
        <f>HYPERLINK("https://twitter.com/mundiario","@mundiario")</f>
        <v>@mundiario</v>
      </c>
      <c r="C2241" s="21" t="s">
        <v>4419</v>
      </c>
      <c r="D2241" s="9" t="s">
        <v>7705</v>
      </c>
      <c r="E2241" s="10" t="str">
        <f>HYPERLINK("https://twitter.com/mundiario/status/1069223479814365184","1069223479814365184")</f>
        <v>1069223479814365184</v>
      </c>
      <c r="F2241" s="11" t="s">
        <v>7706</v>
      </c>
      <c r="G2241" s="12"/>
      <c r="H2241" s="12"/>
      <c r="I2241" s="13">
        <v>0</v>
      </c>
      <c r="J2241" s="13">
        <v>0</v>
      </c>
      <c r="K2241" s="14" t="str">
        <f>HYPERLINK("http://twitter.com","Twitter Web Client")</f>
        <v>Twitter Web Client</v>
      </c>
      <c r="L2241" s="13">
        <v>4066</v>
      </c>
      <c r="M2241" s="13">
        <v>1739</v>
      </c>
      <c r="N2241" s="13">
        <v>343</v>
      </c>
      <c r="O2241" s="15"/>
      <c r="P2241" s="6">
        <v>41173.883761574078</v>
      </c>
      <c r="Q2241" s="16" t="s">
        <v>4421</v>
      </c>
      <c r="R2241" s="17" t="s">
        <v>4422</v>
      </c>
      <c r="S2241" s="11" t="s">
        <v>4423</v>
      </c>
      <c r="T2241" s="12"/>
      <c r="U2241" s="10" t="str">
        <f>HYPERLINK("https://pbs.twimg.com/profile_images/3094796766/730b364efa8d24668e7af3d6c7422a06.jpeg","View")</f>
        <v>View</v>
      </c>
    </row>
    <row r="2242" spans="1:21" ht="40.799999999999997">
      <c r="A2242" s="6">
        <v>43436.603738425925</v>
      </c>
      <c r="B2242" s="7" t="str">
        <f>HYPERLINK("https://twitter.com/angelmoraviles","@angelmoraviles")</f>
        <v>@angelmoraviles</v>
      </c>
      <c r="C2242" s="8" t="s">
        <v>7707</v>
      </c>
      <c r="D2242" s="9" t="s">
        <v>7708</v>
      </c>
      <c r="E2242" s="10" t="str">
        <f>HYPERLINK("https://twitter.com/angelmoraviles/status/1069221995538190336","1069221995538190336")</f>
        <v>1069221995538190336</v>
      </c>
      <c r="F2242" s="11" t="s">
        <v>7701</v>
      </c>
      <c r="G2242" s="12"/>
      <c r="H2242" s="12"/>
      <c r="I2242" s="13">
        <v>4</v>
      </c>
      <c r="J2242" s="13">
        <v>0</v>
      </c>
      <c r="K2242" s="14" t="str">
        <f t="shared" ref="K2242:K2243" si="401">HYPERLINK("http://twitter.com/download/android","Twitter for Android")</f>
        <v>Twitter for Android</v>
      </c>
      <c r="L2242" s="13">
        <v>901</v>
      </c>
      <c r="M2242" s="13">
        <v>614</v>
      </c>
      <c r="N2242" s="13">
        <v>68</v>
      </c>
      <c r="O2242" s="15"/>
      <c r="P2242" s="6">
        <v>41028.87190972222</v>
      </c>
      <c r="Q2242" s="12"/>
      <c r="R2242" s="17" t="s">
        <v>7709</v>
      </c>
      <c r="S2242" s="12"/>
      <c r="T2242" s="12"/>
      <c r="U2242" s="10" t="str">
        <f>HYPERLINK("https://pbs.twimg.com/profile_images/968152522736140289/hHVEckb9.jpg","View")</f>
        <v>View</v>
      </c>
    </row>
    <row r="2243" spans="1:21" ht="51">
      <c r="A2243" s="6">
        <v>43436.60224537037</v>
      </c>
      <c r="B2243" s="7" t="str">
        <f>HYPERLINK("https://twitter.com/Delfos72220099","@Delfos72220099")</f>
        <v>@Delfos72220099</v>
      </c>
      <c r="C2243" s="8" t="s">
        <v>3107</v>
      </c>
      <c r="D2243" s="9" t="s">
        <v>7710</v>
      </c>
      <c r="E2243" s="10" t="str">
        <f>HYPERLINK("https://twitter.com/Delfos72220099/status/1069221454074572801","1069221454074572801")</f>
        <v>1069221454074572801</v>
      </c>
      <c r="F2243" s="12"/>
      <c r="G2243" s="12"/>
      <c r="H2243" s="12"/>
      <c r="I2243" s="13">
        <v>0</v>
      </c>
      <c r="J2243" s="13">
        <v>0</v>
      </c>
      <c r="K2243" s="14" t="str">
        <f t="shared" si="401"/>
        <v>Twitter for Android</v>
      </c>
      <c r="L2243" s="13">
        <v>23</v>
      </c>
      <c r="M2243" s="13">
        <v>22</v>
      </c>
      <c r="N2243" s="13">
        <v>0</v>
      </c>
      <c r="O2243" s="15"/>
      <c r="P2243" s="6">
        <v>42877.546527777777</v>
      </c>
      <c r="Q2243" s="12"/>
      <c r="R2243" s="17" t="s">
        <v>3109</v>
      </c>
      <c r="S2243" s="12"/>
      <c r="T2243" s="12"/>
      <c r="U2243" s="10" t="str">
        <f>HYPERLINK("https://pbs.twimg.com/profile_images/978502010571055104/0HPyXYrL.jpg","View")</f>
        <v>View</v>
      </c>
    </row>
    <row r="2244" spans="1:21" ht="30.6">
      <c r="A2244" s="6">
        <v>43436.59946759259</v>
      </c>
      <c r="B2244" s="7" t="str">
        <f>HYPERLINK("https://twitter.com/julialadel631","@julialadel631")</f>
        <v>@julialadel631</v>
      </c>
      <c r="C2244" s="8" t="s">
        <v>967</v>
      </c>
      <c r="D2244" s="9" t="s">
        <v>7711</v>
      </c>
      <c r="E2244" s="10" t="str">
        <f>HYPERLINK("https://twitter.com/julialadel631/status/1069220448548868096","1069220448548868096")</f>
        <v>1069220448548868096</v>
      </c>
      <c r="F2244" s="12"/>
      <c r="G2244" s="12"/>
      <c r="H2244" s="12"/>
      <c r="I2244" s="13">
        <v>0</v>
      </c>
      <c r="J2244" s="13">
        <v>0</v>
      </c>
      <c r="K2244" s="14" t="str">
        <f>HYPERLINK("http://twitter.com/download/iphone","Twitter for iPhone")</f>
        <v>Twitter for iPhone</v>
      </c>
      <c r="L2244" s="13">
        <v>60</v>
      </c>
      <c r="M2244" s="13">
        <v>363</v>
      </c>
      <c r="N2244" s="13">
        <v>0</v>
      </c>
      <c r="O2244" s="15"/>
      <c r="P2244" s="6">
        <v>43429.953993055555</v>
      </c>
      <c r="Q2244" s="12"/>
      <c r="R2244" s="20"/>
      <c r="S2244" s="12"/>
      <c r="T2244" s="12"/>
      <c r="U2244" s="10" t="str">
        <f>HYPERLINK("https://pbs.twimg.com/profile_images/1066813250615107584/MfvjGnbn.jpg","View")</f>
        <v>View</v>
      </c>
    </row>
    <row r="2245" spans="1:21" ht="13.2">
      <c r="A2245" s="6">
        <v>43436.596562499995</v>
      </c>
      <c r="B2245" s="7" t="str">
        <f>HYPERLINK("https://twitter.com/erreleny","@erreleny")</f>
        <v>@erreleny</v>
      </c>
      <c r="C2245" s="8" t="s">
        <v>7712</v>
      </c>
      <c r="D2245" s="9" t="s">
        <v>7713</v>
      </c>
      <c r="E2245" s="10" t="str">
        <f>HYPERLINK("https://twitter.com/erreleny/status/1069219395510124544","1069219395510124544")</f>
        <v>1069219395510124544</v>
      </c>
      <c r="F2245" s="12"/>
      <c r="G2245" s="12"/>
      <c r="H2245" s="12"/>
      <c r="I2245" s="13">
        <v>0</v>
      </c>
      <c r="J2245" s="13">
        <v>0</v>
      </c>
      <c r="K2245" s="14" t="str">
        <f>HYPERLINK("https://mobile.twitter.com","Twitter Lite")</f>
        <v>Twitter Lite</v>
      </c>
      <c r="L2245" s="13">
        <v>1612</v>
      </c>
      <c r="M2245" s="13">
        <v>457</v>
      </c>
      <c r="N2245" s="13">
        <v>24</v>
      </c>
      <c r="O2245" s="15"/>
      <c r="P2245" s="6">
        <v>42341.940601851849</v>
      </c>
      <c r="Q2245" s="12"/>
      <c r="R2245" s="20"/>
      <c r="S2245" s="12"/>
      <c r="T2245" s="12"/>
      <c r="U2245" s="10" t="str">
        <f>HYPERLINK("https://pbs.twimg.com/profile_images/884146095064002560/VaWWo_zF.jpg","View")</f>
        <v>View</v>
      </c>
    </row>
    <row r="2246" spans="1:21" ht="81.599999999999994">
      <c r="A2246" s="6">
        <v>43436.593032407407</v>
      </c>
      <c r="B2246" s="7" t="str">
        <f>HYPERLINK("https://twitter.com/JuegoElTesorero","@JuegoElTesorero")</f>
        <v>@JuegoElTesorero</v>
      </c>
      <c r="C2246" s="8" t="s">
        <v>7714</v>
      </c>
      <c r="D2246" s="9" t="s">
        <v>7716</v>
      </c>
      <c r="E2246" s="10" t="str">
        <f>HYPERLINK("https://twitter.com/JuegoElTesorero/status/1069218115551141888","1069218115551141888")</f>
        <v>1069218115551141888</v>
      </c>
      <c r="F2246" s="16" t="s">
        <v>5546</v>
      </c>
      <c r="G2246" s="12"/>
      <c r="H2246" s="12"/>
      <c r="I2246" s="13">
        <v>0</v>
      </c>
      <c r="J2246" s="13">
        <v>1</v>
      </c>
      <c r="K2246" s="14" t="str">
        <f t="shared" ref="K2246:K2247" si="402">HYPERLINK("http://twitter.com/download/android","Twitter for Android")</f>
        <v>Twitter for Android</v>
      </c>
      <c r="L2246" s="13">
        <v>204</v>
      </c>
      <c r="M2246" s="13">
        <v>503</v>
      </c>
      <c r="N2246" s="13">
        <v>8</v>
      </c>
      <c r="O2246" s="15"/>
      <c r="P2246" s="6">
        <v>43216.45449074074</v>
      </c>
      <c r="Q2246" s="16" t="s">
        <v>2575</v>
      </c>
      <c r="R2246" s="17" t="s">
        <v>7718</v>
      </c>
      <c r="S2246" s="12"/>
      <c r="T2246" s="12"/>
      <c r="U2246" s="10" t="str">
        <f>HYPERLINK("https://pbs.twimg.com/profile_images/989427955590975488/StG11AeR.jpg","View")</f>
        <v>View</v>
      </c>
    </row>
    <row r="2247" spans="1:21" ht="30.6">
      <c r="A2247" s="6">
        <v>43436.579340277778</v>
      </c>
      <c r="B2247" s="7" t="str">
        <f>HYPERLINK("https://twitter.com/Danigalos","@Danigalos")</f>
        <v>@Danigalos</v>
      </c>
      <c r="C2247" s="8" t="s">
        <v>5279</v>
      </c>
      <c r="D2247" s="9" t="s">
        <v>7719</v>
      </c>
      <c r="E2247" s="10" t="str">
        <f>HYPERLINK("https://twitter.com/Danigalos/status/1069213151860850692","1069213151860850692")</f>
        <v>1069213151860850692</v>
      </c>
      <c r="F2247" s="11" t="s">
        <v>7425</v>
      </c>
      <c r="G2247" s="11" t="s">
        <v>7426</v>
      </c>
      <c r="H2247" s="12"/>
      <c r="I2247" s="13">
        <v>0</v>
      </c>
      <c r="J2247" s="13">
        <v>1</v>
      </c>
      <c r="K2247" s="14" t="str">
        <f t="shared" si="402"/>
        <v>Twitter for Android</v>
      </c>
      <c r="L2247" s="13">
        <v>360</v>
      </c>
      <c r="M2247" s="13">
        <v>636</v>
      </c>
      <c r="N2247" s="13">
        <v>14</v>
      </c>
      <c r="O2247" s="15"/>
      <c r="P2247" s="6">
        <v>40684.720486111109</v>
      </c>
      <c r="Q2247" s="16" t="s">
        <v>7720</v>
      </c>
      <c r="R2247" s="17" t="s">
        <v>7721</v>
      </c>
      <c r="S2247" s="12"/>
      <c r="T2247" s="12"/>
      <c r="U2247" s="10" t="str">
        <f>HYPERLINK("https://pbs.twimg.com/profile_images/699219408540008448/PJJvwSzB.jpg","View")</f>
        <v>View</v>
      </c>
    </row>
    <row r="2248" spans="1:21" ht="40.799999999999997">
      <c r="A2248" s="6">
        <v>43436.572083333333</v>
      </c>
      <c r="B2248" s="7" t="str">
        <f>HYPERLINK("https://twitter.com/carlosvquez","@carlosvquez")</f>
        <v>@carlosvquez</v>
      </c>
      <c r="C2248" s="8" t="s">
        <v>7722</v>
      </c>
      <c r="D2248" s="9" t="s">
        <v>7723</v>
      </c>
      <c r="E2248" s="10" t="str">
        <f>HYPERLINK("https://twitter.com/carlosvquez/status/1069210522556555264","1069210522556555264")</f>
        <v>1069210522556555264</v>
      </c>
      <c r="F2248" s="11" t="s">
        <v>7724</v>
      </c>
      <c r="G2248" s="12"/>
      <c r="H2248" s="12"/>
      <c r="I2248" s="13">
        <v>0</v>
      </c>
      <c r="J2248" s="13">
        <v>0</v>
      </c>
      <c r="K2248" s="14" t="str">
        <f>HYPERLINK("http://www.facebook.com/twitter","Facebook")</f>
        <v>Facebook</v>
      </c>
      <c r="L2248" s="13">
        <v>886</v>
      </c>
      <c r="M2248" s="13">
        <v>488</v>
      </c>
      <c r="N2248" s="13">
        <v>79</v>
      </c>
      <c r="O2248" s="15"/>
      <c r="P2248" s="6">
        <v>40588.812928240739</v>
      </c>
      <c r="Q2248" s="16" t="s">
        <v>3021</v>
      </c>
      <c r="R2248" s="17" t="s">
        <v>7725</v>
      </c>
      <c r="S2248" s="11" t="s">
        <v>7726</v>
      </c>
      <c r="T2248" s="12"/>
      <c r="U2248" s="10" t="str">
        <f>HYPERLINK("https://pbs.twimg.com/profile_images/1300715165/IMG_0838_reduc.jpg","View")</f>
        <v>View</v>
      </c>
    </row>
    <row r="2249" spans="1:21" ht="40.799999999999997">
      <c r="A2249" s="6">
        <v>43436.569930555561</v>
      </c>
      <c r="B2249" s="7" t="str">
        <f>HYPERLINK("https://twitter.com/edujordancruz","@edujordancruz")</f>
        <v>@edujordancruz</v>
      </c>
      <c r="C2249" s="8" t="s">
        <v>7727</v>
      </c>
      <c r="D2249" s="9" t="s">
        <v>7728</v>
      </c>
      <c r="E2249" s="10" t="str">
        <f>HYPERLINK("https://twitter.com/edujordancruz/status/1069209744244699136","1069209744244699136")</f>
        <v>1069209744244699136</v>
      </c>
      <c r="F2249" s="12"/>
      <c r="G2249" s="12"/>
      <c r="H2249" s="12"/>
      <c r="I2249" s="13">
        <v>1</v>
      </c>
      <c r="J2249" s="13">
        <v>0</v>
      </c>
      <c r="K2249" s="14" t="str">
        <f t="shared" ref="K2249:K2250" si="403">HYPERLINK("http://twitter.com","Twitter Web Client")</f>
        <v>Twitter Web Client</v>
      </c>
      <c r="L2249" s="13">
        <v>348</v>
      </c>
      <c r="M2249" s="13">
        <v>530</v>
      </c>
      <c r="N2249" s="13">
        <v>10</v>
      </c>
      <c r="O2249" s="15"/>
      <c r="P2249" s="6">
        <v>41344.807002314818</v>
      </c>
      <c r="Q2249" s="16" t="s">
        <v>7729</v>
      </c>
      <c r="R2249" s="17" t="s">
        <v>7730</v>
      </c>
      <c r="S2249" s="12"/>
      <c r="T2249" s="12"/>
      <c r="U2249" s="10" t="str">
        <f>HYPERLINK("https://pbs.twimg.com/profile_images/798872212015038464/Cv02Rw-M.jpg","View")</f>
        <v>View</v>
      </c>
    </row>
    <row r="2250" spans="1:21" ht="61.2">
      <c r="A2250" s="6">
        <v>43436.567349537036</v>
      </c>
      <c r="B2250" s="7" t="str">
        <f>HYPERLINK("https://twitter.com/LucasIgle1","@LucasIgle1")</f>
        <v>@LucasIgle1</v>
      </c>
      <c r="C2250" s="8" t="s">
        <v>7731</v>
      </c>
      <c r="D2250" s="9" t="s">
        <v>7732</v>
      </c>
      <c r="E2250" s="10" t="str">
        <f>HYPERLINK("https://twitter.com/LucasIgle1/status/1069208809099399169","1069208809099399169")</f>
        <v>1069208809099399169</v>
      </c>
      <c r="F2250" s="16" t="s">
        <v>5546</v>
      </c>
      <c r="G2250" s="12"/>
      <c r="H2250" s="12"/>
      <c r="I2250" s="13">
        <v>0</v>
      </c>
      <c r="J2250" s="13">
        <v>1</v>
      </c>
      <c r="K2250" s="14" t="str">
        <f t="shared" si="403"/>
        <v>Twitter Web Client</v>
      </c>
      <c r="L2250" s="13">
        <v>2753</v>
      </c>
      <c r="M2250" s="13">
        <v>2802</v>
      </c>
      <c r="N2250" s="13">
        <v>2</v>
      </c>
      <c r="O2250" s="15"/>
      <c r="P2250" s="6">
        <v>41812.892025462963</v>
      </c>
      <c r="Q2250" s="16" t="s">
        <v>1709</v>
      </c>
      <c r="R2250" s="17" t="s">
        <v>7733</v>
      </c>
      <c r="S2250" s="12"/>
      <c r="T2250" s="12"/>
      <c r="U2250" s="10" t="str">
        <f>HYPERLINK("https://pbs.twimg.com/profile_images/950142662182662144/YVqmN30N.jpg","View")</f>
        <v>View</v>
      </c>
    </row>
    <row r="2251" spans="1:21" ht="81.599999999999994">
      <c r="A2251" s="6">
        <v>43436.562777777777</v>
      </c>
      <c r="B2251" s="7" t="str">
        <f>HYPERLINK("https://twitter.com/pedroagueda","@pedroagueda")</f>
        <v>@pedroagueda</v>
      </c>
      <c r="C2251" s="8" t="s">
        <v>7734</v>
      </c>
      <c r="D2251" s="9" t="s">
        <v>7735</v>
      </c>
      <c r="E2251" s="10" t="str">
        <f>HYPERLINK("https://twitter.com/pedroagueda/status/1069207153318260737","1069207153318260737")</f>
        <v>1069207153318260737</v>
      </c>
      <c r="F2251" s="16" t="s">
        <v>7736</v>
      </c>
      <c r="G2251" s="12"/>
      <c r="H2251" s="12"/>
      <c r="I2251" s="13">
        <v>0</v>
      </c>
      <c r="J2251" s="13">
        <v>1</v>
      </c>
      <c r="K2251" s="14" t="str">
        <f>HYPERLINK("http://twitter.com/download/iphone","Twitter for iPhone")</f>
        <v>Twitter for iPhone</v>
      </c>
      <c r="L2251" s="13">
        <v>5542</v>
      </c>
      <c r="M2251" s="13">
        <v>1133</v>
      </c>
      <c r="N2251" s="13">
        <v>180</v>
      </c>
      <c r="O2251" s="15"/>
      <c r="P2251" s="6">
        <v>40622.925613425927</v>
      </c>
      <c r="Q2251" s="16" t="s">
        <v>7737</v>
      </c>
      <c r="R2251" s="17" t="s">
        <v>7738</v>
      </c>
      <c r="S2251" s="12"/>
      <c r="T2251" s="12"/>
      <c r="U2251" s="10" t="str">
        <f>HYPERLINK("https://pbs.twimg.com/profile_images/993613211185418242/L8PUO_U9.jpg","View")</f>
        <v>View</v>
      </c>
    </row>
    <row r="2252" spans="1:21" ht="40.799999999999997">
      <c r="A2252" s="6">
        <v>43436.556215277778</v>
      </c>
      <c r="B2252" s="7" t="str">
        <f>HYPERLINK("https://twitter.com/krlosdue","@krlosdue")</f>
        <v>@krlosdue</v>
      </c>
      <c r="C2252" s="8" t="s">
        <v>7739</v>
      </c>
      <c r="D2252" s="9" t="s">
        <v>7694</v>
      </c>
      <c r="E2252" s="10" t="str">
        <f>HYPERLINK("https://twitter.com/krlosdue/status/1069204773482704896","1069204773482704896")</f>
        <v>1069204773482704896</v>
      </c>
      <c r="F2252" s="11" t="s">
        <v>7100</v>
      </c>
      <c r="G2252" s="12"/>
      <c r="H2252" s="12"/>
      <c r="I2252" s="13">
        <v>0</v>
      </c>
      <c r="J2252" s="13">
        <v>0</v>
      </c>
      <c r="K2252" s="14" t="str">
        <f t="shared" ref="K2252:K2253" si="404">HYPERLINK("http://twitter.com","Twitter Web Client")</f>
        <v>Twitter Web Client</v>
      </c>
      <c r="L2252" s="13">
        <v>883</v>
      </c>
      <c r="M2252" s="13">
        <v>2337</v>
      </c>
      <c r="N2252" s="13">
        <v>24</v>
      </c>
      <c r="O2252" s="15"/>
      <c r="P2252" s="6">
        <v>41647.912592592591</v>
      </c>
      <c r="Q2252" s="16" t="s">
        <v>795</v>
      </c>
      <c r="R2252" s="17" t="s">
        <v>7740</v>
      </c>
      <c r="S2252" s="12"/>
      <c r="T2252" s="12"/>
      <c r="U2252" s="10" t="str">
        <f>HYPERLINK("https://pbs.twimg.com/profile_images/736931741731000320/q1dKRL7S.jpg","View")</f>
        <v>View</v>
      </c>
    </row>
    <row r="2253" spans="1:21" ht="20.399999999999999">
      <c r="A2253" s="6">
        <v>43436.554386574076</v>
      </c>
      <c r="B2253" s="7" t="str">
        <f>HYPERLINK("https://twitter.com/JesusMariaUriz","@JesusMariaUriz")</f>
        <v>@JesusMariaUriz</v>
      </c>
      <c r="C2253" s="8" t="s">
        <v>7741</v>
      </c>
      <c r="D2253" s="9" t="s">
        <v>7742</v>
      </c>
      <c r="E2253" s="10" t="str">
        <f>HYPERLINK("https://twitter.com/JesusMariaUriz/status/1069204111625781254","1069204111625781254")</f>
        <v>1069204111625781254</v>
      </c>
      <c r="F2253" s="11" t="s">
        <v>7100</v>
      </c>
      <c r="G2253" s="12"/>
      <c r="H2253" s="12"/>
      <c r="I2253" s="13">
        <v>0</v>
      </c>
      <c r="J2253" s="13">
        <v>0</v>
      </c>
      <c r="K2253" s="14" t="str">
        <f t="shared" si="404"/>
        <v>Twitter Web Client</v>
      </c>
      <c r="L2253" s="13">
        <v>634</v>
      </c>
      <c r="M2253" s="13">
        <v>1994</v>
      </c>
      <c r="N2253" s="13">
        <v>30</v>
      </c>
      <c r="O2253" s="15"/>
      <c r="P2253" s="6">
        <v>39971.893530092595</v>
      </c>
      <c r="Q2253" s="16" t="s">
        <v>7743</v>
      </c>
      <c r="R2253" s="20"/>
      <c r="S2253" s="11" t="s">
        <v>7744</v>
      </c>
      <c r="T2253" s="12"/>
      <c r="U2253" s="10" t="str">
        <f>HYPERLINK("https://pbs.twimg.com/profile_images/488695187367931904/Ik-sbymD.jpeg","View")</f>
        <v>View</v>
      </c>
    </row>
    <row r="2254" spans="1:21" ht="20.399999999999999">
      <c r="A2254" s="6">
        <v>43436.550173611111</v>
      </c>
      <c r="B2254" s="7" t="str">
        <f>HYPERLINK("https://twitter.com/Tuitnews1","@Tuitnews1")</f>
        <v>@Tuitnews1</v>
      </c>
      <c r="C2254" s="8" t="s">
        <v>7745</v>
      </c>
      <c r="D2254" s="9" t="s">
        <v>7694</v>
      </c>
      <c r="E2254" s="10" t="str">
        <f>HYPERLINK("https://twitter.com/Tuitnews1/status/1069202584936828928","1069202584936828928")</f>
        <v>1069202584936828928</v>
      </c>
      <c r="F2254" s="11" t="s">
        <v>7100</v>
      </c>
      <c r="G2254" s="12"/>
      <c r="H2254" s="12"/>
      <c r="I2254" s="13">
        <v>1</v>
      </c>
      <c r="J2254" s="13">
        <v>0</v>
      </c>
      <c r="K2254" s="14" t="str">
        <f>HYPERLINK("http://twitter.com/download/iphone","Twitter for iPhone")</f>
        <v>Twitter for iPhone</v>
      </c>
      <c r="L2254" s="13">
        <v>66</v>
      </c>
      <c r="M2254" s="13">
        <v>277</v>
      </c>
      <c r="N2254" s="13">
        <v>1</v>
      </c>
      <c r="O2254" s="15"/>
      <c r="P2254" s="6">
        <v>43421.46974537037</v>
      </c>
      <c r="Q2254" s="16" t="s">
        <v>611</v>
      </c>
      <c r="R2254" s="17" t="s">
        <v>7746</v>
      </c>
      <c r="S2254" s="11" t="s">
        <v>7747</v>
      </c>
      <c r="T2254" s="12"/>
      <c r="U2254" s="10" t="str">
        <f>HYPERLINK("https://pbs.twimg.com/profile_images/1063742579408289793/PhLIDmAl.jpg","View")</f>
        <v>View</v>
      </c>
    </row>
    <row r="2255" spans="1:21" ht="30.6">
      <c r="A2255" s="6">
        <v>43436.547384259262</v>
      </c>
      <c r="B2255" s="7" t="str">
        <f>HYPERLINK("https://twitter.com/AbaloneOrtega","@AbaloneOrtega")</f>
        <v>@AbaloneOrtega</v>
      </c>
      <c r="C2255" s="8" t="s">
        <v>7748</v>
      </c>
      <c r="D2255" s="9" t="s">
        <v>7749</v>
      </c>
      <c r="E2255" s="10" t="str">
        <f>HYPERLINK("https://twitter.com/AbaloneOrtega/status/1069201573434265600","1069201573434265600")</f>
        <v>1069201573434265600</v>
      </c>
      <c r="F2255" s="12"/>
      <c r="G2255" s="11" t="s">
        <v>7750</v>
      </c>
      <c r="H2255" s="12"/>
      <c r="I2255" s="13">
        <v>7</v>
      </c>
      <c r="J2255" s="13">
        <v>5</v>
      </c>
      <c r="K2255" s="14" t="str">
        <f>HYPERLINK("http://twitter.com","Twitter Web Client")</f>
        <v>Twitter Web Client</v>
      </c>
      <c r="L2255" s="13">
        <v>4744</v>
      </c>
      <c r="M2255" s="13">
        <v>3713</v>
      </c>
      <c r="N2255" s="13">
        <v>52</v>
      </c>
      <c r="O2255" s="15"/>
      <c r="P2255" s="6">
        <v>41249.886354166665</v>
      </c>
      <c r="Q2255" s="12"/>
      <c r="R2255" s="17" t="s">
        <v>7751</v>
      </c>
      <c r="S2255" s="12"/>
      <c r="T2255" s="12"/>
      <c r="U2255" s="10" t="str">
        <f>HYPERLINK("https://pbs.twimg.com/profile_images/759803574951915524/50ydJhOx.jpg","View")</f>
        <v>View</v>
      </c>
    </row>
    <row r="2256" spans="1:21" ht="40.799999999999997">
      <c r="A2256" s="6">
        <v>43436.545185185183</v>
      </c>
      <c r="B2256" s="7" t="str">
        <f>HYPERLINK("https://twitter.com/prnoticias","@prnoticias")</f>
        <v>@prnoticias</v>
      </c>
      <c r="C2256" s="8" t="s">
        <v>5520</v>
      </c>
      <c r="D2256" s="9" t="s">
        <v>7752</v>
      </c>
      <c r="E2256" s="10" t="str">
        <f>HYPERLINK("https://twitter.com/prnoticias/status/1069200776751431680","1069200776751431680")</f>
        <v>1069200776751431680</v>
      </c>
      <c r="F2256" s="11" t="s">
        <v>5522</v>
      </c>
      <c r="G2256" s="11" t="s">
        <v>7753</v>
      </c>
      <c r="H2256" s="12"/>
      <c r="I2256" s="13">
        <v>1</v>
      </c>
      <c r="J2256" s="13">
        <v>0</v>
      </c>
      <c r="K2256" s="14" t="str">
        <f>HYPERLINK("http://www.hootsuite.com","Hootsuite")</f>
        <v>Hootsuite</v>
      </c>
      <c r="L2256" s="13">
        <v>77995</v>
      </c>
      <c r="M2256" s="13">
        <v>1714</v>
      </c>
      <c r="N2256" s="13">
        <v>4024</v>
      </c>
      <c r="O2256" s="19" t="s">
        <v>44</v>
      </c>
      <c r="P2256" s="6">
        <v>39903.574907407405</v>
      </c>
      <c r="Q2256" s="16" t="s">
        <v>232</v>
      </c>
      <c r="R2256" s="17" t="s">
        <v>5524</v>
      </c>
      <c r="S2256" s="11" t="s">
        <v>5525</v>
      </c>
      <c r="T2256" s="12"/>
      <c r="U2256" s="10" t="str">
        <f>HYPERLINK("https://pbs.twimg.com/profile_images/881787674121646083/28sl70F7.jpg","View")</f>
        <v>View</v>
      </c>
    </row>
    <row r="2257" spans="1:21" ht="30.6">
      <c r="A2257" s="6">
        <v>43436.541296296295</v>
      </c>
      <c r="B2257" s="7" t="str">
        <f>HYPERLINK("https://twitter.com/geoinex","@geoinex")</f>
        <v>@geoinex</v>
      </c>
      <c r="C2257" s="8" t="s">
        <v>7754</v>
      </c>
      <c r="D2257" s="9" t="s">
        <v>7755</v>
      </c>
      <c r="E2257" s="10" t="str">
        <f>HYPERLINK("https://twitter.com/geoinex/status/1069199368715157504","1069199368715157504")</f>
        <v>1069199368715157504</v>
      </c>
      <c r="F2257" s="11" t="s">
        <v>7756</v>
      </c>
      <c r="G2257" s="12"/>
      <c r="H2257" s="12"/>
      <c r="I2257" s="13">
        <v>0</v>
      </c>
      <c r="J2257" s="13">
        <v>0</v>
      </c>
      <c r="K2257" s="14" t="str">
        <f>HYPERLINK("http://twitter.com/download/android","Twitter for Android")</f>
        <v>Twitter for Android</v>
      </c>
      <c r="L2257" s="13">
        <v>1325</v>
      </c>
      <c r="M2257" s="13">
        <v>1687</v>
      </c>
      <c r="N2257" s="13">
        <v>79</v>
      </c>
      <c r="O2257" s="15"/>
      <c r="P2257" s="6">
        <v>41108.671481481484</v>
      </c>
      <c r="Q2257" s="16" t="s">
        <v>7757</v>
      </c>
      <c r="R2257" s="17" t="s">
        <v>7758</v>
      </c>
      <c r="S2257" s="12"/>
      <c r="T2257" s="12"/>
      <c r="U2257" s="10" t="str">
        <f>HYPERLINK("https://pbs.twimg.com/profile_images/899668491032244224/a0xgjS7K.jpg","View")</f>
        <v>View</v>
      </c>
    </row>
    <row r="2258" spans="1:21" ht="40.799999999999997">
      <c r="A2258" s="6">
        <v>43436.54111111111</v>
      </c>
      <c r="B2258" s="7" t="str">
        <f>HYPERLINK("https://twitter.com/SoyDonNadie","@SoyDonNadie")</f>
        <v>@SoyDonNadie</v>
      </c>
      <c r="C2258" s="8" t="s">
        <v>4731</v>
      </c>
      <c r="D2258" s="9" t="s">
        <v>7759</v>
      </c>
      <c r="E2258" s="10" t="str">
        <f>HYPERLINK("https://twitter.com/SoyDonNadie/status/1069199297982472192","1069199297982472192")</f>
        <v>1069199297982472192</v>
      </c>
      <c r="F2258" s="11" t="s">
        <v>7760</v>
      </c>
      <c r="G2258" s="12"/>
      <c r="H2258" s="12"/>
      <c r="I2258" s="13">
        <v>1</v>
      </c>
      <c r="J2258" s="13">
        <v>1</v>
      </c>
      <c r="K2258" s="14" t="str">
        <f>HYPERLINK("http://www.facebook.com/twitter","Facebook")</f>
        <v>Facebook</v>
      </c>
      <c r="L2258" s="13">
        <v>946</v>
      </c>
      <c r="M2258" s="13">
        <v>2309</v>
      </c>
      <c r="N2258" s="13">
        <v>14</v>
      </c>
      <c r="O2258" s="15"/>
      <c r="P2258" s="6">
        <v>40546.957303240742</v>
      </c>
      <c r="Q2258" s="16" t="s">
        <v>191</v>
      </c>
      <c r="R2258" s="17" t="s">
        <v>4733</v>
      </c>
      <c r="S2258" s="11" t="s">
        <v>4734</v>
      </c>
      <c r="T2258" s="12"/>
      <c r="U2258" s="10" t="str">
        <f>HYPERLINK("https://pbs.twimg.com/profile_images/1900771571/Don_2520Nadie.JPG","View")</f>
        <v>View</v>
      </c>
    </row>
    <row r="2259" spans="1:21" ht="40.799999999999997">
      <c r="A2259" s="6">
        <v>43436.539270833338</v>
      </c>
      <c r="B2259" s="7" t="str">
        <f>HYPERLINK("https://twitter.com/AURELIAJEREZ","@AURELIAJEREZ")</f>
        <v>@AURELIAJEREZ</v>
      </c>
      <c r="C2259" s="8" t="s">
        <v>3255</v>
      </c>
      <c r="D2259" s="9" t="s">
        <v>7761</v>
      </c>
      <c r="E2259" s="10" t="str">
        <f>HYPERLINK("https://twitter.com/AURELIAJEREZ/status/1069198632585441287","1069198632585441287")</f>
        <v>1069198632585441287</v>
      </c>
      <c r="F2259" s="12"/>
      <c r="G2259" s="12"/>
      <c r="H2259" s="12"/>
      <c r="I2259" s="13">
        <v>0</v>
      </c>
      <c r="J2259" s="13">
        <v>0</v>
      </c>
      <c r="K2259" s="14" t="str">
        <f>HYPERLINK("http://twitter.com/download/android","Twitter for Android")</f>
        <v>Twitter for Android</v>
      </c>
      <c r="L2259" s="13">
        <v>3265</v>
      </c>
      <c r="M2259" s="13">
        <v>1990</v>
      </c>
      <c r="N2259" s="13">
        <v>87</v>
      </c>
      <c r="O2259" s="15"/>
      <c r="P2259" s="6">
        <v>41224.77579861111</v>
      </c>
      <c r="Q2259" s="16" t="s">
        <v>3257</v>
      </c>
      <c r="R2259" s="17" t="s">
        <v>3258</v>
      </c>
      <c r="S2259" s="11" t="s">
        <v>3259</v>
      </c>
      <c r="T2259" s="12"/>
      <c r="U2259" s="10" t="str">
        <f>HYPERLINK("https://pbs.twimg.com/profile_images/1041448487039188992/GoZpfxjT.jpg","View")</f>
        <v>View</v>
      </c>
    </row>
    <row r="2260" spans="1:21" ht="30.6">
      <c r="A2260" s="6">
        <v>43436.534502314811</v>
      </c>
      <c r="B2260" s="7" t="str">
        <f>HYPERLINK("https://twitter.com/Fuuk0","@Fuuk0")</f>
        <v>@Fuuk0</v>
      </c>
      <c r="C2260" s="8" t="s">
        <v>7762</v>
      </c>
      <c r="D2260" s="9" t="s">
        <v>7763</v>
      </c>
      <c r="E2260" s="10" t="str">
        <f>HYPERLINK("https://twitter.com/Fuuk0/status/1069196903714295808","1069196903714295808")</f>
        <v>1069196903714295808</v>
      </c>
      <c r="F2260" s="12"/>
      <c r="G2260" s="11" t="s">
        <v>7764</v>
      </c>
      <c r="H2260" s="12"/>
      <c r="I2260" s="13">
        <v>0</v>
      </c>
      <c r="J2260" s="13">
        <v>0</v>
      </c>
      <c r="K2260" s="14" t="str">
        <f>HYPERLINK("http://twitter.com","Twitter Web Client")</f>
        <v>Twitter Web Client</v>
      </c>
      <c r="L2260" s="13">
        <v>1004</v>
      </c>
      <c r="M2260" s="13">
        <v>707</v>
      </c>
      <c r="N2260" s="13">
        <v>45</v>
      </c>
      <c r="O2260" s="15"/>
      <c r="P2260" s="6">
        <v>40107.68712962963</v>
      </c>
      <c r="Q2260" s="16" t="s">
        <v>229</v>
      </c>
      <c r="R2260" s="17" t="s">
        <v>7765</v>
      </c>
      <c r="S2260" s="11" t="s">
        <v>7766</v>
      </c>
      <c r="T2260" s="12"/>
      <c r="U2260" s="10" t="str">
        <f>HYPERLINK("https://pbs.twimg.com/profile_images/1069924472403177472/-8X1Df-F.jpg","View")</f>
        <v>View</v>
      </c>
    </row>
    <row r="2261" spans="1:21" ht="20.399999999999999">
      <c r="A2261" s="6">
        <v>43436.529340277775</v>
      </c>
      <c r="B2261" s="7" t="str">
        <f>HYPERLINK("https://twitter.com/ElSastrin","@ElSastrin")</f>
        <v>@ElSastrin</v>
      </c>
      <c r="C2261" s="8" t="s">
        <v>7767</v>
      </c>
      <c r="D2261" s="9" t="s">
        <v>7768</v>
      </c>
      <c r="E2261" s="10" t="str">
        <f>HYPERLINK("https://twitter.com/ElSastrin/status/1069195032610160640","1069195032610160640")</f>
        <v>1069195032610160640</v>
      </c>
      <c r="F2261" s="11" t="s">
        <v>7497</v>
      </c>
      <c r="G2261" s="12"/>
      <c r="H2261" s="12"/>
      <c r="I2261" s="13">
        <v>1</v>
      </c>
      <c r="J2261" s="13">
        <v>2</v>
      </c>
      <c r="K2261" s="14" t="str">
        <f t="shared" ref="K2261:K2262" si="405">HYPERLINK("http://twitter.com/download/android","Twitter for Android")</f>
        <v>Twitter for Android</v>
      </c>
      <c r="L2261" s="13">
        <v>970</v>
      </c>
      <c r="M2261" s="13">
        <v>884</v>
      </c>
      <c r="N2261" s="13">
        <v>16</v>
      </c>
      <c r="O2261" s="15"/>
      <c r="P2261" s="6">
        <v>41577.771192129629</v>
      </c>
      <c r="Q2261" s="16" t="s">
        <v>7769</v>
      </c>
      <c r="R2261" s="17" t="s">
        <v>7770</v>
      </c>
      <c r="S2261" s="12"/>
      <c r="T2261" s="12"/>
      <c r="U2261" s="10" t="str">
        <f>HYPERLINK("https://pbs.twimg.com/profile_images/1042277080019464199/e_UrMoWL.jpg","View")</f>
        <v>View</v>
      </c>
    </row>
    <row r="2262" spans="1:21" ht="51">
      <c r="A2262" s="6">
        <v>43436.523495370369</v>
      </c>
      <c r="B2262" s="7" t="str">
        <f>HYPERLINK("https://twitter.com/FranciscoTije2","@FranciscoTije2")</f>
        <v>@FranciscoTije2</v>
      </c>
      <c r="C2262" s="8" t="s">
        <v>7443</v>
      </c>
      <c r="D2262" s="9" t="s">
        <v>7771</v>
      </c>
      <c r="E2262" s="10" t="str">
        <f>HYPERLINK("https://twitter.com/FranciscoTije2/status/1069192915149381632","1069192915149381632")</f>
        <v>1069192915149381632</v>
      </c>
      <c r="F2262" s="12"/>
      <c r="G2262" s="12"/>
      <c r="H2262" s="12"/>
      <c r="I2262" s="13">
        <v>1</v>
      </c>
      <c r="J2262" s="13">
        <v>10</v>
      </c>
      <c r="K2262" s="14" t="str">
        <f t="shared" si="405"/>
        <v>Twitter for Android</v>
      </c>
      <c r="L2262" s="13">
        <v>2394</v>
      </c>
      <c r="M2262" s="13">
        <v>2020</v>
      </c>
      <c r="N2262" s="13">
        <v>47</v>
      </c>
      <c r="O2262" s="15"/>
      <c r="P2262" s="6">
        <v>41225.901539351849</v>
      </c>
      <c r="Q2262" s="16" t="s">
        <v>926</v>
      </c>
      <c r="R2262" s="17" t="s">
        <v>7445</v>
      </c>
      <c r="S2262" s="12"/>
      <c r="T2262" s="12"/>
      <c r="U2262" s="10" t="str">
        <f>HYPERLINK("https://pbs.twimg.com/profile_images/1049054866222600192/v2JEx-7O.jpg","View")</f>
        <v>View</v>
      </c>
    </row>
    <row r="2263" spans="1:21" ht="30.6">
      <c r="A2263" s="6">
        <v>43436.521516203706</v>
      </c>
      <c r="B2263" s="7" t="str">
        <f>HYPERLINK("https://twitter.com/SanzVM","@SanzVM")</f>
        <v>@SanzVM</v>
      </c>
      <c r="C2263" s="8" t="s">
        <v>7772</v>
      </c>
      <c r="D2263" s="9" t="s">
        <v>7773</v>
      </c>
      <c r="E2263" s="10" t="str">
        <f>HYPERLINK("https://twitter.com/SanzVM/status/1069192199294906369","1069192199294906369")</f>
        <v>1069192199294906369</v>
      </c>
      <c r="F2263" s="11" t="s">
        <v>548</v>
      </c>
      <c r="G2263" s="12"/>
      <c r="H2263" s="12"/>
      <c r="I2263" s="13">
        <v>1</v>
      </c>
      <c r="J2263" s="13">
        <v>1</v>
      </c>
      <c r="K2263" s="14" t="str">
        <f>HYPERLINK("http://twitter.com","Twitter Web Client")</f>
        <v>Twitter Web Client</v>
      </c>
      <c r="L2263" s="13">
        <v>2694</v>
      </c>
      <c r="M2263" s="13">
        <v>2251</v>
      </c>
      <c r="N2263" s="13">
        <v>35</v>
      </c>
      <c r="O2263" s="15"/>
      <c r="P2263" s="6">
        <v>40670.656157407408</v>
      </c>
      <c r="Q2263" s="12"/>
      <c r="R2263" s="17" t="s">
        <v>7774</v>
      </c>
      <c r="S2263" s="12"/>
      <c r="T2263" s="12"/>
      <c r="U2263" s="10" t="str">
        <f>HYPERLINK("https://pbs.twimg.com/profile_images/484960466376990720/zbqwCIiE.png","View")</f>
        <v>View</v>
      </c>
    </row>
    <row r="2264" spans="1:21" ht="40.799999999999997">
      <c r="A2264" s="6">
        <v>43436.519513888888</v>
      </c>
      <c r="B2264" s="7" t="str">
        <f>HYPERLINK("https://twitter.com/PlenoSenado","@PlenoSenado")</f>
        <v>@PlenoSenado</v>
      </c>
      <c r="C2264" s="8" t="s">
        <v>1743</v>
      </c>
      <c r="D2264" s="9" t="s">
        <v>7775</v>
      </c>
      <c r="E2264" s="10" t="str">
        <f>HYPERLINK("https://twitter.com/PlenoSenado/status/1069191472996446208","1069191472996446208")</f>
        <v>1069191472996446208</v>
      </c>
      <c r="F2264" s="11" t="s">
        <v>7776</v>
      </c>
      <c r="G2264" s="11" t="s">
        <v>7777</v>
      </c>
      <c r="H2264" s="12"/>
      <c r="I2264" s="13">
        <v>0</v>
      </c>
      <c r="J2264" s="13">
        <v>0</v>
      </c>
      <c r="K2264" s="14" t="str">
        <f>HYPERLINK("https://dlvrit.com/","dlvr.it")</f>
        <v>dlvr.it</v>
      </c>
      <c r="L2264" s="13">
        <v>110</v>
      </c>
      <c r="M2264" s="13">
        <v>292</v>
      </c>
      <c r="N2264" s="13">
        <v>4</v>
      </c>
      <c r="O2264" s="15"/>
      <c r="P2264" s="6">
        <v>42810.882986111115</v>
      </c>
      <c r="Q2264" s="16" t="s">
        <v>48</v>
      </c>
      <c r="R2264" s="17" t="s">
        <v>1747</v>
      </c>
      <c r="S2264" s="12"/>
      <c r="T2264" s="12"/>
      <c r="U2264" s="10" t="str">
        <f>HYPERLINK("https://pbs.twimg.com/profile_images/899320773395001344/0RfVoy-p.jpg","View")</f>
        <v>View</v>
      </c>
    </row>
    <row r="2265" spans="1:21" ht="20.399999999999999">
      <c r="A2265" s="6">
        <v>43436.517048611116</v>
      </c>
      <c r="B2265" s="7" t="str">
        <f>HYPERLINK("https://twitter.com/juvini100","@juvini100")</f>
        <v>@juvini100</v>
      </c>
      <c r="C2265" s="8" t="s">
        <v>7778</v>
      </c>
      <c r="D2265" s="9" t="s">
        <v>7694</v>
      </c>
      <c r="E2265" s="10" t="str">
        <f>HYPERLINK("https://twitter.com/juvini100/status/1069190581543452672","1069190581543452672")</f>
        <v>1069190581543452672</v>
      </c>
      <c r="F2265" s="11" t="s">
        <v>7100</v>
      </c>
      <c r="G2265" s="12"/>
      <c r="H2265" s="12"/>
      <c r="I2265" s="13">
        <v>0</v>
      </c>
      <c r="J2265" s="13">
        <v>0</v>
      </c>
      <c r="K2265" s="14" t="str">
        <f>HYPERLINK("http://twitter.com","Twitter Web Client")</f>
        <v>Twitter Web Client</v>
      </c>
      <c r="L2265" s="13">
        <v>1310</v>
      </c>
      <c r="M2265" s="13">
        <v>4411</v>
      </c>
      <c r="N2265" s="13">
        <v>2</v>
      </c>
      <c r="O2265" s="15"/>
      <c r="P2265" s="6">
        <v>41780.474074074074</v>
      </c>
      <c r="Q2265" s="12"/>
      <c r="R2265" s="17" t="s">
        <v>7779</v>
      </c>
      <c r="S2265" s="12"/>
      <c r="T2265" s="12"/>
      <c r="U2265" s="10" t="str">
        <f>HYPERLINK("https://pbs.twimg.com/profile_images/1060850438050856962/28V9mRmA.jpg","View")</f>
        <v>View</v>
      </c>
    </row>
    <row r="2266" spans="1:21" ht="51">
      <c r="A2266" s="6">
        <v>43436.516886574071</v>
      </c>
      <c r="B2266" s="7" t="str">
        <f>HYPERLINK("https://twitter.com/mst1953","@mst1953")</f>
        <v>@mst1953</v>
      </c>
      <c r="C2266" s="8" t="s">
        <v>7780</v>
      </c>
      <c r="D2266" s="9" t="s">
        <v>7781</v>
      </c>
      <c r="E2266" s="10" t="str">
        <f>HYPERLINK("https://twitter.com/mst1953/status/1069190519882952705","1069190519882952705")</f>
        <v>1069190519882952705</v>
      </c>
      <c r="F2266" s="11" t="s">
        <v>7701</v>
      </c>
      <c r="G2266" s="12"/>
      <c r="H2266" s="12"/>
      <c r="I2266" s="13">
        <v>1</v>
      </c>
      <c r="J2266" s="13">
        <v>3</v>
      </c>
      <c r="K2266" s="14" t="str">
        <f>HYPERLINK("http://twitter.com/download/android","Twitter for Android")</f>
        <v>Twitter for Android</v>
      </c>
      <c r="L2266" s="13">
        <v>3447</v>
      </c>
      <c r="M2266" s="13">
        <v>1751</v>
      </c>
      <c r="N2266" s="13">
        <v>44</v>
      </c>
      <c r="O2266" s="15"/>
      <c r="P2266" s="6">
        <v>40854.81490740741</v>
      </c>
      <c r="Q2266" s="16" t="s">
        <v>735</v>
      </c>
      <c r="R2266" s="17" t="s">
        <v>7782</v>
      </c>
      <c r="S2266" s="12"/>
      <c r="T2266" s="12"/>
      <c r="U2266" s="10" t="str">
        <f>HYPERLINK("https://pbs.twimg.com/profile_images/1066825586734190593/2orwzE83.jpg","View")</f>
        <v>View</v>
      </c>
    </row>
    <row r="2267" spans="1:21" ht="40.799999999999997">
      <c r="A2267" s="6">
        <v>43436.514421296291</v>
      </c>
      <c r="B2267" s="7" t="str">
        <f>HYPERLINK("https://twitter.com/JJhabi","@JJhabi")</f>
        <v>@JJhabi</v>
      </c>
      <c r="C2267" s="8" t="s">
        <v>7783</v>
      </c>
      <c r="D2267" s="9" t="s">
        <v>7784</v>
      </c>
      <c r="E2267" s="10" t="str">
        <f>HYPERLINK("https://twitter.com/JJhabi/status/1069189626814959616","1069189626814959616")</f>
        <v>1069189626814959616</v>
      </c>
      <c r="F2267" s="11" t="s">
        <v>7785</v>
      </c>
      <c r="G2267" s="12"/>
      <c r="H2267" s="12"/>
      <c r="I2267" s="13">
        <v>1</v>
      </c>
      <c r="J2267" s="13">
        <v>0</v>
      </c>
      <c r="K2267" s="14" t="str">
        <f>HYPERLINK("http://twitter.com/download/iphone","Twitter for iPhone")</f>
        <v>Twitter for iPhone</v>
      </c>
      <c r="L2267" s="13">
        <v>1341</v>
      </c>
      <c r="M2267" s="13">
        <v>1956</v>
      </c>
      <c r="N2267" s="13">
        <v>19</v>
      </c>
      <c r="O2267" s="15"/>
      <c r="P2267" s="6">
        <v>41947.321377314816</v>
      </c>
      <c r="Q2267" s="16" t="s">
        <v>7786</v>
      </c>
      <c r="R2267" s="17" t="s">
        <v>7787</v>
      </c>
      <c r="S2267" s="11" t="s">
        <v>7788</v>
      </c>
      <c r="T2267" s="12"/>
      <c r="U2267" s="10" t="str">
        <f>HYPERLINK("https://pbs.twimg.com/profile_images/546791323815383040/hqSxClDP.jpeg","View")</f>
        <v>View</v>
      </c>
    </row>
    <row r="2268" spans="1:21" ht="40.799999999999997">
      <c r="A2268" s="6">
        <v>43436.512986111113</v>
      </c>
      <c r="B2268" s="7" t="str">
        <f>HYPERLINK("https://twitter.com/MartiMatinA","@MartiMatinA")</f>
        <v>@MartiMatinA</v>
      </c>
      <c r="C2268" s="8" t="s">
        <v>7663</v>
      </c>
      <c r="D2268" s="9" t="s">
        <v>7789</v>
      </c>
      <c r="E2268" s="10" t="str">
        <f>HYPERLINK("https://twitter.com/MartiMatinA/status/1069189107664936960","1069189107664936960")</f>
        <v>1069189107664936960</v>
      </c>
      <c r="F2268" s="11" t="s">
        <v>7665</v>
      </c>
      <c r="G2268" s="12"/>
      <c r="H2268" s="12"/>
      <c r="I2268" s="13">
        <v>4</v>
      </c>
      <c r="J2268" s="13">
        <v>2</v>
      </c>
      <c r="K2268" s="14" t="str">
        <f>HYPERLINK("http://twitter.com","Twitter Web Client")</f>
        <v>Twitter Web Client</v>
      </c>
      <c r="L2268" s="13">
        <v>232</v>
      </c>
      <c r="M2268" s="13">
        <v>86</v>
      </c>
      <c r="N2268" s="13">
        <v>6</v>
      </c>
      <c r="O2268" s="15"/>
      <c r="P2268" s="6">
        <v>41922.886365740742</v>
      </c>
      <c r="Q2268" s="12"/>
      <c r="R2268" s="17" t="s">
        <v>7666</v>
      </c>
      <c r="S2268" s="11" t="s">
        <v>7667</v>
      </c>
      <c r="T2268" s="12"/>
      <c r="U2268" s="10" t="str">
        <f>HYPERLINK("https://pbs.twimg.com/profile_images/520717024817721344/JCnydvj_.jpeg","View")</f>
        <v>View</v>
      </c>
    </row>
    <row r="2269" spans="1:21" ht="71.400000000000006">
      <c r="A2269" s="6">
        <v>43436.511435185181</v>
      </c>
      <c r="B2269" s="7" t="str">
        <f>HYPERLINK("https://twitter.com/itsriotmamba99","@itsriotmamba99")</f>
        <v>@itsriotmamba99</v>
      </c>
      <c r="C2269" s="8" t="s">
        <v>7790</v>
      </c>
      <c r="D2269" s="9" t="s">
        <v>7791</v>
      </c>
      <c r="E2269" s="10" t="str">
        <f>HYPERLINK("https://twitter.com/itsriotmamba99/status/1069188545473060865","1069188545473060865")</f>
        <v>1069188545473060865</v>
      </c>
      <c r="F2269" s="11" t="s">
        <v>754</v>
      </c>
      <c r="G2269" s="11" t="s">
        <v>755</v>
      </c>
      <c r="H2269" s="12"/>
      <c r="I2269" s="13">
        <v>0</v>
      </c>
      <c r="J2269" s="13">
        <v>0</v>
      </c>
      <c r="K2269" s="14" t="str">
        <f t="shared" ref="K2269:K2270" si="406">HYPERLINK("http://twitter.com/download/android","Twitter for Android")</f>
        <v>Twitter for Android</v>
      </c>
      <c r="L2269" s="13">
        <v>139</v>
      </c>
      <c r="M2269" s="13">
        <v>161</v>
      </c>
      <c r="N2269" s="13">
        <v>0</v>
      </c>
      <c r="O2269" s="15"/>
      <c r="P2269" s="6">
        <v>43410.771608796298</v>
      </c>
      <c r="Q2269" s="16" t="s">
        <v>7792</v>
      </c>
      <c r="R2269" s="17" t="s">
        <v>7793</v>
      </c>
      <c r="S2269" s="12"/>
      <c r="T2269" s="12"/>
      <c r="U2269" s="10" t="str">
        <f>HYPERLINK("https://pbs.twimg.com/profile_images/1064585245893234689/GjvEx8JD.jpg","View")</f>
        <v>View</v>
      </c>
    </row>
    <row r="2270" spans="1:21" ht="51">
      <c r="A2270" s="6">
        <v>43436.511134259257</v>
      </c>
      <c r="B2270" s="7" t="str">
        <f>HYPERLINK("https://twitter.com/AURELIAJEREZ","@AURELIAJEREZ")</f>
        <v>@AURELIAJEREZ</v>
      </c>
      <c r="C2270" s="8" t="s">
        <v>3255</v>
      </c>
      <c r="D2270" s="9" t="s">
        <v>7794</v>
      </c>
      <c r="E2270" s="10" t="str">
        <f>HYPERLINK("https://twitter.com/AURELIAJEREZ/status/1069188435343220736","1069188435343220736")</f>
        <v>1069188435343220736</v>
      </c>
      <c r="F2270" s="12"/>
      <c r="G2270" s="12"/>
      <c r="H2270" s="12"/>
      <c r="I2270" s="13">
        <v>6</v>
      </c>
      <c r="J2270" s="13">
        <v>14</v>
      </c>
      <c r="K2270" s="14" t="str">
        <f t="shared" si="406"/>
        <v>Twitter for Android</v>
      </c>
      <c r="L2270" s="13">
        <v>3265</v>
      </c>
      <c r="M2270" s="13">
        <v>1990</v>
      </c>
      <c r="N2270" s="13">
        <v>87</v>
      </c>
      <c r="O2270" s="15"/>
      <c r="P2270" s="6">
        <v>41224.77579861111</v>
      </c>
      <c r="Q2270" s="16" t="s">
        <v>3257</v>
      </c>
      <c r="R2270" s="17" t="s">
        <v>3258</v>
      </c>
      <c r="S2270" s="11" t="s">
        <v>3259</v>
      </c>
      <c r="T2270" s="12"/>
      <c r="U2270" s="10" t="str">
        <f>HYPERLINK("https://pbs.twimg.com/profile_images/1041448487039188992/GoZpfxjT.jpg","View")</f>
        <v>View</v>
      </c>
    </row>
    <row r="2271" spans="1:21" ht="40.799999999999997">
      <c r="A2271" s="6">
        <v>43436.510474537034</v>
      </c>
      <c r="B2271" s="7" t="str">
        <f>HYPERLINK("https://twitter.com/abcdesevilla","@abcdesevilla")</f>
        <v>@abcdesevilla</v>
      </c>
      <c r="C2271" s="8" t="s">
        <v>7415</v>
      </c>
      <c r="D2271" s="9" t="s">
        <v>7795</v>
      </c>
      <c r="E2271" s="10" t="str">
        <f>HYPERLINK("https://twitter.com/abcdesevilla/status/1069188195529691136","1069188195529691136")</f>
        <v>1069188195529691136</v>
      </c>
      <c r="F2271" s="11" t="s">
        <v>7796</v>
      </c>
      <c r="G2271" s="12"/>
      <c r="H2271" s="12"/>
      <c r="I2271" s="13">
        <v>2</v>
      </c>
      <c r="J2271" s="13">
        <v>2</v>
      </c>
      <c r="K2271" s="14" t="str">
        <f>HYPERLINK("https://www.hootsuite.com","Hootsuite Inc.")</f>
        <v>Hootsuite Inc.</v>
      </c>
      <c r="L2271" s="13">
        <v>184531</v>
      </c>
      <c r="M2271" s="13">
        <v>995</v>
      </c>
      <c r="N2271" s="13">
        <v>1587</v>
      </c>
      <c r="O2271" s="19" t="s">
        <v>44</v>
      </c>
      <c r="P2271" s="6">
        <v>39959.449374999997</v>
      </c>
      <c r="Q2271" s="16" t="s">
        <v>735</v>
      </c>
      <c r="R2271" s="17" t="s">
        <v>7418</v>
      </c>
      <c r="S2271" s="11" t="s">
        <v>7419</v>
      </c>
      <c r="T2271" s="12"/>
      <c r="U2271" s="10" t="str">
        <f>HYPERLINK("https://pbs.twimg.com/profile_images/909714989556092928/61PsKYSd.jpg","View")</f>
        <v>View</v>
      </c>
    </row>
    <row r="2272" spans="1:21" ht="20.399999999999999">
      <c r="A2272" s="6">
        <v>43436.508877314816</v>
      </c>
      <c r="B2272" s="7" t="str">
        <f>HYPERLINK("https://twitter.com/anuska_truska","@anuska_truska")</f>
        <v>@anuska_truska</v>
      </c>
      <c r="C2272" s="8" t="s">
        <v>7797</v>
      </c>
      <c r="D2272" s="9" t="s">
        <v>7798</v>
      </c>
      <c r="E2272" s="10" t="str">
        <f>HYPERLINK("https://twitter.com/anuska_truska/status/1069187619135909889","1069187619135909889")</f>
        <v>1069187619135909889</v>
      </c>
      <c r="F2272" s="12"/>
      <c r="G2272" s="12"/>
      <c r="H2272" s="12"/>
      <c r="I2272" s="13">
        <v>1</v>
      </c>
      <c r="J2272" s="13">
        <v>22</v>
      </c>
      <c r="K2272" s="14" t="str">
        <f>HYPERLINK("http://twitter.com/download/iphone","Twitter for iPhone")</f>
        <v>Twitter for iPhone</v>
      </c>
      <c r="L2272" s="13">
        <v>4331</v>
      </c>
      <c r="M2272" s="13">
        <v>916</v>
      </c>
      <c r="N2272" s="13">
        <v>84</v>
      </c>
      <c r="O2272" s="15"/>
      <c r="P2272" s="6">
        <v>40550.774652777778</v>
      </c>
      <c r="Q2272" s="16" t="s">
        <v>232</v>
      </c>
      <c r="R2272" s="17" t="s">
        <v>7799</v>
      </c>
      <c r="S2272" s="11" t="s">
        <v>7800</v>
      </c>
      <c r="T2272" s="12"/>
      <c r="U2272" s="10" t="str">
        <f>HYPERLINK("https://pbs.twimg.com/profile_images/1030200149430214656/arcQe9S7.jpg","View")</f>
        <v>View</v>
      </c>
    </row>
    <row r="2273" spans="1:21" ht="30.6">
      <c r="A2273" s="6">
        <v>43436.50717592593</v>
      </c>
      <c r="B2273" s="7" t="str">
        <f>HYPERLINK("https://twitter.com/MateoSantamarta","@MateoSantamarta")</f>
        <v>@MateoSantamarta</v>
      </c>
      <c r="C2273" s="8" t="s">
        <v>7801</v>
      </c>
      <c r="D2273" s="9" t="s">
        <v>7802</v>
      </c>
      <c r="E2273" s="10" t="str">
        <f>HYPERLINK("https://twitter.com/MateoSantamarta/status/1069187003886043138","1069187003886043138")</f>
        <v>1069187003886043138</v>
      </c>
      <c r="F2273" s="11" t="s">
        <v>7497</v>
      </c>
      <c r="G2273" s="12"/>
      <c r="H2273" s="12"/>
      <c r="I2273" s="13">
        <v>1</v>
      </c>
      <c r="J2273" s="13">
        <v>0</v>
      </c>
      <c r="K2273" s="14" t="str">
        <f>HYPERLINK("http://twitter.com/download/android","Twitter for Android")</f>
        <v>Twitter for Android</v>
      </c>
      <c r="L2273" s="13">
        <v>457</v>
      </c>
      <c r="M2273" s="13">
        <v>1001</v>
      </c>
      <c r="N2273" s="13">
        <v>16</v>
      </c>
      <c r="O2273" s="15"/>
      <c r="P2273" s="6">
        <v>40712.085983796293</v>
      </c>
      <c r="Q2273" s="16" t="s">
        <v>48</v>
      </c>
      <c r="R2273" s="17" t="s">
        <v>7803</v>
      </c>
      <c r="S2273" s="11" t="s">
        <v>7804</v>
      </c>
      <c r="T2273" s="12"/>
      <c r="U2273" s="10" t="str">
        <f>HYPERLINK("https://pbs.twimg.com/profile_images/779728206953873408/cM0VObHq.jpg","View")</f>
        <v>View</v>
      </c>
    </row>
    <row r="2274" spans="1:21" ht="40.799999999999997">
      <c r="A2274" s="6">
        <v>43436.502222222218</v>
      </c>
      <c r="B2274" s="7" t="str">
        <f>HYPERLINK("https://twitter.com/carlosvquez","@carlosvquez")</f>
        <v>@carlosvquez</v>
      </c>
      <c r="C2274" s="8" t="s">
        <v>7722</v>
      </c>
      <c r="D2274" s="9" t="s">
        <v>7805</v>
      </c>
      <c r="E2274" s="10" t="str">
        <f>HYPERLINK("https://twitter.com/carlosvquez/status/1069185206853214208","1069185206853214208")</f>
        <v>1069185206853214208</v>
      </c>
      <c r="F2274" s="11" t="s">
        <v>7806</v>
      </c>
      <c r="G2274" s="12"/>
      <c r="H2274" s="12"/>
      <c r="I2274" s="13">
        <v>0</v>
      </c>
      <c r="J2274" s="13">
        <v>0</v>
      </c>
      <c r="K2274" s="14" t="str">
        <f t="shared" ref="K2274:K2275" si="407">HYPERLINK("http://www.facebook.com/twitter","Facebook")</f>
        <v>Facebook</v>
      </c>
      <c r="L2274" s="13">
        <v>886</v>
      </c>
      <c r="M2274" s="13">
        <v>488</v>
      </c>
      <c r="N2274" s="13">
        <v>79</v>
      </c>
      <c r="O2274" s="15"/>
      <c r="P2274" s="6">
        <v>40588.812928240739</v>
      </c>
      <c r="Q2274" s="16" t="s">
        <v>3021</v>
      </c>
      <c r="R2274" s="17" t="s">
        <v>7725</v>
      </c>
      <c r="S2274" s="11" t="s">
        <v>7726</v>
      </c>
      <c r="T2274" s="12"/>
      <c r="U2274" s="10" t="str">
        <f>HYPERLINK("https://pbs.twimg.com/profile_images/1300715165/IMG_0838_reduc.jpg","View")</f>
        <v>View</v>
      </c>
    </row>
    <row r="2275" spans="1:21" ht="30.6">
      <c r="A2275" s="6">
        <v>43436.50163194444</v>
      </c>
      <c r="B2275" s="7" t="str">
        <f>HYPERLINK("https://twitter.com/IliasPiony","@IliasPiony")</f>
        <v>@IliasPiony</v>
      </c>
      <c r="C2275" s="8" t="s">
        <v>7807</v>
      </c>
      <c r="D2275" s="9" t="s">
        <v>7808</v>
      </c>
      <c r="E2275" s="10" t="str">
        <f>HYPERLINK("https://twitter.com/IliasPiony/status/1069184991270187008","1069184991270187008")</f>
        <v>1069184991270187008</v>
      </c>
      <c r="F2275" s="11" t="s">
        <v>7809</v>
      </c>
      <c r="G2275" s="12"/>
      <c r="H2275" s="12"/>
      <c r="I2275" s="13">
        <v>0</v>
      </c>
      <c r="J2275" s="13">
        <v>0</v>
      </c>
      <c r="K2275" s="14" t="str">
        <f t="shared" si="407"/>
        <v>Facebook</v>
      </c>
      <c r="L2275" s="13">
        <v>640</v>
      </c>
      <c r="M2275" s="13">
        <v>789</v>
      </c>
      <c r="N2275" s="13">
        <v>10</v>
      </c>
      <c r="O2275" s="15"/>
      <c r="P2275" s="6">
        <v>40634.044710648144</v>
      </c>
      <c r="Q2275" s="16" t="s">
        <v>7810</v>
      </c>
      <c r="R2275" s="17" t="s">
        <v>7811</v>
      </c>
      <c r="S2275" s="11" t="s">
        <v>7812</v>
      </c>
      <c r="T2275" s="12"/>
      <c r="U2275" s="10" t="str">
        <f>HYPERLINK("https://pbs.twimg.com/profile_images/1027322232882782208/KqhA5JgH.jpg","View")</f>
        <v>View</v>
      </c>
    </row>
    <row r="2276" spans="1:21" ht="30.6">
      <c r="A2276" s="6">
        <v>43436.493715277778</v>
      </c>
      <c r="B2276" s="7" t="str">
        <f>HYPERLINK("https://twitter.com/ontibe","@ontibe")</f>
        <v>@ontibe</v>
      </c>
      <c r="C2276" s="8" t="s">
        <v>2193</v>
      </c>
      <c r="D2276" s="9" t="s">
        <v>7694</v>
      </c>
      <c r="E2276" s="10" t="str">
        <f>HYPERLINK("https://twitter.com/ontibe/status/1069182124723499009","1069182124723499009")</f>
        <v>1069182124723499009</v>
      </c>
      <c r="F2276" s="11" t="s">
        <v>7100</v>
      </c>
      <c r="G2276" s="12"/>
      <c r="H2276" s="12"/>
      <c r="I2276" s="13">
        <v>0</v>
      </c>
      <c r="J2276" s="13">
        <v>0</v>
      </c>
      <c r="K2276" s="14" t="str">
        <f>HYPERLINK("http://twitter.com","Twitter Web Client")</f>
        <v>Twitter Web Client</v>
      </c>
      <c r="L2276" s="13">
        <v>462</v>
      </c>
      <c r="M2276" s="13">
        <v>1373</v>
      </c>
      <c r="N2276" s="13">
        <v>1</v>
      </c>
      <c r="O2276" s="15"/>
      <c r="P2276" s="6">
        <v>40673.627766203703</v>
      </c>
      <c r="Q2276" s="16" t="s">
        <v>2194</v>
      </c>
      <c r="R2276" s="17" t="s">
        <v>2195</v>
      </c>
      <c r="S2276" s="12"/>
      <c r="T2276" s="12"/>
      <c r="U2276" s="10" t="str">
        <f>HYPERLINK("https://pbs.twimg.com/profile_images/867069058037972993/9c2-Wrp7.jpg","View")</f>
        <v>View</v>
      </c>
    </row>
    <row r="2277" spans="1:21" ht="40.799999999999997">
      <c r="A2277" s="6">
        <v>43436.492962962962</v>
      </c>
      <c r="B2277" s="7" t="str">
        <f>HYPERLINK("https://twitter.com/sipea12","@sipea12")</f>
        <v>@sipea12</v>
      </c>
      <c r="C2277" s="8" t="s">
        <v>7813</v>
      </c>
      <c r="D2277" s="9" t="s">
        <v>7814</v>
      </c>
      <c r="E2277" s="10" t="str">
        <f>HYPERLINK("https://twitter.com/sipea12/status/1069181850613149696","1069181850613149696")</f>
        <v>1069181850613149696</v>
      </c>
      <c r="F2277" s="12"/>
      <c r="G2277" s="12"/>
      <c r="H2277" s="12"/>
      <c r="I2277" s="13">
        <v>0</v>
      </c>
      <c r="J2277" s="13">
        <v>0</v>
      </c>
      <c r="K2277" s="14" t="str">
        <f>HYPERLINK("http://twitter.com/download/android","Twitter for Android")</f>
        <v>Twitter for Android</v>
      </c>
      <c r="L2277" s="13">
        <v>1593</v>
      </c>
      <c r="M2277" s="13">
        <v>1398</v>
      </c>
      <c r="N2277" s="13">
        <v>19</v>
      </c>
      <c r="O2277" s="15"/>
      <c r="P2277" s="6">
        <v>42711.738750000004</v>
      </c>
      <c r="Q2277" s="16" t="s">
        <v>7815</v>
      </c>
      <c r="R2277" s="20"/>
      <c r="S2277" s="12"/>
      <c r="T2277" s="12"/>
      <c r="U2277" s="10" t="str">
        <f>HYPERLINK("https://pbs.twimg.com/profile_images/1071163618266370053/njRH_OWO.jpg","View")</f>
        <v>View</v>
      </c>
    </row>
    <row r="2278" spans="1:21" ht="40.799999999999997">
      <c r="A2278" s="6">
        <v>43436.489710648151</v>
      </c>
      <c r="B2278" s="7" t="str">
        <f>HYPERLINK("https://twitter.com/ElMundoEspana","@ElMundoEspana")</f>
        <v>@ElMundoEspana</v>
      </c>
      <c r="C2278" s="8" t="s">
        <v>360</v>
      </c>
      <c r="D2278" s="9" t="s">
        <v>7592</v>
      </c>
      <c r="E2278" s="10" t="str">
        <f>HYPERLINK("https://twitter.com/ElMundoEspana/status/1069180673389416448","1069180673389416448")</f>
        <v>1069180673389416448</v>
      </c>
      <c r="F2278" s="11" t="s">
        <v>7100</v>
      </c>
      <c r="G2278" s="12"/>
      <c r="H2278" s="12"/>
      <c r="I2278" s="13">
        <v>1</v>
      </c>
      <c r="J2278" s="13">
        <v>0</v>
      </c>
      <c r="K2278" s="14" t="str">
        <f t="shared" ref="K2278:K2279" si="408">HYPERLINK("http://twitter.com","Twitter Web Client")</f>
        <v>Twitter Web Client</v>
      </c>
      <c r="L2278" s="13">
        <v>18045</v>
      </c>
      <c r="M2278" s="13">
        <v>652</v>
      </c>
      <c r="N2278" s="13">
        <v>353</v>
      </c>
      <c r="O2278" s="19" t="s">
        <v>44</v>
      </c>
      <c r="P2278" s="6">
        <v>42089.415439814809</v>
      </c>
      <c r="Q2278" s="12"/>
      <c r="R2278" s="17" t="s">
        <v>362</v>
      </c>
      <c r="S2278" s="11" t="s">
        <v>363</v>
      </c>
      <c r="T2278" s="12"/>
      <c r="U2278" s="10" t="str">
        <f>HYPERLINK("https://pbs.twimg.com/profile_images/780431237555032064/H6v83dkC.jpg","View")</f>
        <v>View</v>
      </c>
    </row>
    <row r="2279" spans="1:21" ht="20.399999999999999">
      <c r="A2279" s="6">
        <v>43436.487893518519</v>
      </c>
      <c r="B2279" s="7" t="str">
        <f>HYPERLINK("https://twitter.com/ESCUPELOYACOM","@ESCUPELOYACOM")</f>
        <v>@ESCUPELOYACOM</v>
      </c>
      <c r="C2279" s="8" t="s">
        <v>3130</v>
      </c>
      <c r="D2279" s="9" t="s">
        <v>7816</v>
      </c>
      <c r="E2279" s="10" t="str">
        <f>HYPERLINK("https://twitter.com/ESCUPELOYACOM/status/1069180012954292224","1069180012954292224")</f>
        <v>1069180012954292224</v>
      </c>
      <c r="F2279" s="11" t="s">
        <v>7100</v>
      </c>
      <c r="G2279" s="12"/>
      <c r="H2279" s="12"/>
      <c r="I2279" s="13">
        <v>0</v>
      </c>
      <c r="J2279" s="13">
        <v>0</v>
      </c>
      <c r="K2279" s="14" t="str">
        <f t="shared" si="408"/>
        <v>Twitter Web Client</v>
      </c>
      <c r="L2279" s="13">
        <v>3985</v>
      </c>
      <c r="M2279" s="13">
        <v>4512</v>
      </c>
      <c r="N2279" s="13">
        <v>104</v>
      </c>
      <c r="O2279" s="15"/>
      <c r="P2279" s="6">
        <v>40966.613530092596</v>
      </c>
      <c r="Q2279" s="16" t="s">
        <v>587</v>
      </c>
      <c r="R2279" s="17" t="s">
        <v>3132</v>
      </c>
      <c r="S2279" s="12"/>
      <c r="T2279" s="12"/>
      <c r="U2279" s="10" t="str">
        <f>HYPERLINK("https://pbs.twimg.com/profile_images/1857667710/escupelo_ya_peque.jpg","View")</f>
        <v>View</v>
      </c>
    </row>
    <row r="2280" spans="1:21" ht="30.6">
      <c r="A2280" s="6">
        <v>43436.486562499995</v>
      </c>
      <c r="B2280" s="7" t="str">
        <f>HYPERLINK("https://twitter.com/alba__n","@alba__n")</f>
        <v>@alba__n</v>
      </c>
      <c r="C2280" s="8" t="s">
        <v>7817</v>
      </c>
      <c r="D2280" s="9" t="s">
        <v>7818</v>
      </c>
      <c r="E2280" s="10" t="str">
        <f>HYPERLINK("https://twitter.com/alba__n/status/1069179532660355073","1069179532660355073")</f>
        <v>1069179532660355073</v>
      </c>
      <c r="F2280" s="11" t="s">
        <v>7425</v>
      </c>
      <c r="G2280" s="11" t="s">
        <v>7426</v>
      </c>
      <c r="H2280" s="12"/>
      <c r="I2280" s="13">
        <v>0</v>
      </c>
      <c r="J2280" s="13">
        <v>0</v>
      </c>
      <c r="K2280" s="14" t="str">
        <f t="shared" ref="K2280:K2282" si="409">HYPERLINK("http://twitter.com/download/android","Twitter for Android")</f>
        <v>Twitter for Android</v>
      </c>
      <c r="L2280" s="13">
        <v>552</v>
      </c>
      <c r="M2280" s="13">
        <v>383</v>
      </c>
      <c r="N2280" s="13">
        <v>4</v>
      </c>
      <c r="O2280" s="15"/>
      <c r="P2280" s="6">
        <v>40919.635081018518</v>
      </c>
      <c r="Q2280" s="12"/>
      <c r="R2280" s="28" t="s">
        <v>7819</v>
      </c>
      <c r="S2280" s="12"/>
      <c r="T2280" s="12"/>
      <c r="U2280" s="10" t="str">
        <f>HYPERLINK("https://pbs.twimg.com/profile_images/1065258416225099782/iSQb5PtE.jpg","View")</f>
        <v>View</v>
      </c>
    </row>
    <row r="2281" spans="1:21" ht="20.399999999999999">
      <c r="A2281" s="6">
        <v>43436.485856481479</v>
      </c>
      <c r="B2281" s="7" t="str">
        <f>HYPERLINK("https://twitter.com/josefinalj","@josefinalj")</f>
        <v>@josefinalj</v>
      </c>
      <c r="C2281" s="8" t="s">
        <v>7820</v>
      </c>
      <c r="D2281" s="9" t="s">
        <v>7694</v>
      </c>
      <c r="E2281" s="10" t="str">
        <f>HYPERLINK("https://twitter.com/josefinalj/status/1069179275994152960","1069179275994152960")</f>
        <v>1069179275994152960</v>
      </c>
      <c r="F2281" s="11" t="s">
        <v>7100</v>
      </c>
      <c r="G2281" s="12"/>
      <c r="H2281" s="12"/>
      <c r="I2281" s="13">
        <v>0</v>
      </c>
      <c r="J2281" s="13">
        <v>0</v>
      </c>
      <c r="K2281" s="14" t="str">
        <f t="shared" si="409"/>
        <v>Twitter for Android</v>
      </c>
      <c r="L2281" s="13">
        <v>226</v>
      </c>
      <c r="M2281" s="13">
        <v>243</v>
      </c>
      <c r="N2281" s="13">
        <v>1</v>
      </c>
      <c r="O2281" s="15"/>
      <c r="P2281" s="6">
        <v>41130.870335648149</v>
      </c>
      <c r="Q2281" s="12"/>
      <c r="R2281" s="17" t="s">
        <v>7821</v>
      </c>
      <c r="S2281" s="11" t="s">
        <v>7822</v>
      </c>
      <c r="T2281" s="12"/>
      <c r="U2281" s="10" t="str">
        <f>HYPERLINK("https://pbs.twimg.com/profile_images/785017232124411904/HQQ_am3S.jpg","View")</f>
        <v>View</v>
      </c>
    </row>
    <row r="2282" spans="1:21" ht="40.799999999999997">
      <c r="A2282" s="6">
        <v>43436.482152777782</v>
      </c>
      <c r="B2282" s="7" t="str">
        <f>HYPERLINK("https://twitter.com/olduvay22","@olduvay22")</f>
        <v>@olduvay22</v>
      </c>
      <c r="C2282" s="8" t="s">
        <v>7823</v>
      </c>
      <c r="D2282" s="9" t="s">
        <v>7824</v>
      </c>
      <c r="E2282" s="10" t="str">
        <f>HYPERLINK("https://twitter.com/olduvay22/status/1069177932814405632","1069177932814405632")</f>
        <v>1069177932814405632</v>
      </c>
      <c r="F2282" s="11" t="s">
        <v>2042</v>
      </c>
      <c r="G2282" s="12"/>
      <c r="H2282" s="12"/>
      <c r="I2282" s="13">
        <v>2</v>
      </c>
      <c r="J2282" s="13">
        <v>3</v>
      </c>
      <c r="K2282" s="14" t="str">
        <f t="shared" si="409"/>
        <v>Twitter for Android</v>
      </c>
      <c r="L2282" s="13">
        <v>625</v>
      </c>
      <c r="M2282" s="13">
        <v>707</v>
      </c>
      <c r="N2282" s="13">
        <v>11</v>
      </c>
      <c r="O2282" s="15"/>
      <c r="P2282" s="6">
        <v>41967.429722222223</v>
      </c>
      <c r="Q2282" s="12"/>
      <c r="R2282" s="17" t="s">
        <v>7825</v>
      </c>
      <c r="S2282" s="11" t="s">
        <v>7826</v>
      </c>
      <c r="T2282" s="12"/>
      <c r="U2282" s="10" t="str">
        <f>HYPERLINK("https://pbs.twimg.com/profile_images/1065277477935812608/QsufvDm1.jpg","View")</f>
        <v>View</v>
      </c>
    </row>
    <row r="2283" spans="1:21" ht="20.399999999999999">
      <c r="A2283" s="6">
        <v>43436.475266203706</v>
      </c>
      <c r="B2283" s="7" t="str">
        <f>HYPERLINK("https://twitter.com/elmundoand","@elmundoand")</f>
        <v>@elmundoand</v>
      </c>
      <c r="C2283" s="8" t="s">
        <v>7827</v>
      </c>
      <c r="D2283" s="9" t="s">
        <v>7694</v>
      </c>
      <c r="E2283" s="10" t="str">
        <f>HYPERLINK("https://twitter.com/elmundoand/status/1069175440517095424","1069175440517095424")</f>
        <v>1069175440517095424</v>
      </c>
      <c r="F2283" s="11" t="s">
        <v>7100</v>
      </c>
      <c r="G2283" s="12"/>
      <c r="H2283" s="12"/>
      <c r="I2283" s="13">
        <v>1</v>
      </c>
      <c r="J2283" s="13">
        <v>0</v>
      </c>
      <c r="K2283" s="14" t="str">
        <f>HYPERLINK("http://twitter.com","Twitter Web Client")</f>
        <v>Twitter Web Client</v>
      </c>
      <c r="L2283" s="13">
        <v>8738</v>
      </c>
      <c r="M2283" s="13">
        <v>1925</v>
      </c>
      <c r="N2283" s="13">
        <v>248</v>
      </c>
      <c r="O2283" s="15"/>
      <c r="P2283" s="6">
        <v>40204.445868055554</v>
      </c>
      <c r="Q2283" s="16" t="s">
        <v>7828</v>
      </c>
      <c r="R2283" s="17" t="s">
        <v>7829</v>
      </c>
      <c r="S2283" s="11" t="s">
        <v>7830</v>
      </c>
      <c r="T2283" s="12"/>
      <c r="U2283" s="10" t="str">
        <f>HYPERLINK("https://pbs.twimg.com/profile_images/595934719721742336/JLmRO2fI.jpg","View")</f>
        <v>View</v>
      </c>
    </row>
    <row r="2284" spans="1:21" ht="20.399999999999999">
      <c r="A2284" s="6">
        <v>43436.46947916667</v>
      </c>
      <c r="B2284" s="7" t="str">
        <f>HYPERLINK("https://twitter.com/silvia94rt","@silvia94rt")</f>
        <v>@silvia94rt</v>
      </c>
      <c r="C2284" s="8" t="s">
        <v>6473</v>
      </c>
      <c r="D2284" s="9" t="s">
        <v>7831</v>
      </c>
      <c r="E2284" s="10" t="str">
        <f>HYPERLINK("https://twitter.com/silvia94rt/status/1069173339825061888","1069173339825061888")</f>
        <v>1069173339825061888</v>
      </c>
      <c r="F2284" s="12"/>
      <c r="G2284" s="11" t="s">
        <v>7832</v>
      </c>
      <c r="H2284" s="12"/>
      <c r="I2284" s="13">
        <v>0</v>
      </c>
      <c r="J2284" s="13">
        <v>2</v>
      </c>
      <c r="K2284" s="14" t="str">
        <f>HYPERLINK("http://twitter.com/download/android","Twitter for Android")</f>
        <v>Twitter for Android</v>
      </c>
      <c r="L2284" s="13">
        <v>353</v>
      </c>
      <c r="M2284" s="13">
        <v>304</v>
      </c>
      <c r="N2284" s="13">
        <v>7</v>
      </c>
      <c r="O2284" s="15"/>
      <c r="P2284" s="6">
        <v>40958.503912037035</v>
      </c>
      <c r="Q2284" s="16" t="s">
        <v>4149</v>
      </c>
      <c r="R2284" s="17" t="s">
        <v>6475</v>
      </c>
      <c r="S2284" s="12"/>
      <c r="T2284" s="12"/>
      <c r="U2284" s="10" t="str">
        <f>HYPERLINK("https://pbs.twimg.com/profile_images/1033056585248133122/iZdkCYJi.jpg","View")</f>
        <v>View</v>
      </c>
    </row>
    <row r="2285" spans="1:21" ht="30.6">
      <c r="A2285" s="6">
        <v>43436.46601851852</v>
      </c>
      <c r="B2285" s="7" t="str">
        <f>HYPERLINK("https://twitter.com/g_palmira","@g_palmira")</f>
        <v>@g_palmira</v>
      </c>
      <c r="C2285" s="8" t="s">
        <v>2598</v>
      </c>
      <c r="D2285" s="9" t="s">
        <v>7833</v>
      </c>
      <c r="E2285" s="10" t="str">
        <f>HYPERLINK("https://twitter.com/g_palmira/status/1069172087103922177","1069172087103922177")</f>
        <v>1069172087103922177</v>
      </c>
      <c r="F2285" s="11" t="s">
        <v>492</v>
      </c>
      <c r="G2285" s="12"/>
      <c r="H2285" s="12"/>
      <c r="I2285" s="13">
        <v>0</v>
      </c>
      <c r="J2285" s="13">
        <v>0</v>
      </c>
      <c r="K2285" s="14" t="str">
        <f>HYPERLINK("http://twitter.com/#!/download/ipad","Twitter for iPad")</f>
        <v>Twitter for iPad</v>
      </c>
      <c r="L2285" s="13">
        <v>1460</v>
      </c>
      <c r="M2285" s="13">
        <v>1448</v>
      </c>
      <c r="N2285" s="13">
        <v>0</v>
      </c>
      <c r="O2285" s="15"/>
      <c r="P2285" s="6">
        <v>41005.74019675926</v>
      </c>
      <c r="Q2285" s="12"/>
      <c r="R2285" s="17" t="s">
        <v>2599</v>
      </c>
      <c r="S2285" s="12"/>
      <c r="T2285" s="12"/>
      <c r="U2285" s="10" t="str">
        <f>HYPERLINK("https://pbs.twimg.com/profile_images/1057639071927885824/O5EfhEom.jpg","View")</f>
        <v>View</v>
      </c>
    </row>
    <row r="2286" spans="1:21" ht="71.400000000000006">
      <c r="A2286" s="6">
        <v>43436.462604166663</v>
      </c>
      <c r="B2286" s="7" t="str">
        <f>HYPERLINK("https://twitter.com/mahallerx","@mahallerx")</f>
        <v>@mahallerx</v>
      </c>
      <c r="C2286" s="8" t="s">
        <v>7834</v>
      </c>
      <c r="D2286" s="9" t="s">
        <v>7835</v>
      </c>
      <c r="E2286" s="10" t="str">
        <f>HYPERLINK("https://twitter.com/mahallerx/status/1069170851822673920","1069170851822673920")</f>
        <v>1069170851822673920</v>
      </c>
      <c r="F2286" s="11" t="s">
        <v>7836</v>
      </c>
      <c r="G2286" s="11" t="s">
        <v>7717</v>
      </c>
      <c r="H2286" s="12"/>
      <c r="I2286" s="13">
        <v>1</v>
      </c>
      <c r="J2286" s="13">
        <v>4</v>
      </c>
      <c r="K2286" s="14" t="str">
        <f>HYPERLINK("http://twitter.com/download/android","Twitter for Android")</f>
        <v>Twitter for Android</v>
      </c>
      <c r="L2286" s="13">
        <v>474</v>
      </c>
      <c r="M2286" s="13">
        <v>343</v>
      </c>
      <c r="N2286" s="13">
        <v>5</v>
      </c>
      <c r="O2286" s="15"/>
      <c r="P2286" s="6">
        <v>41933.073796296296</v>
      </c>
      <c r="Q2286" s="12"/>
      <c r="R2286" s="17" t="s">
        <v>7837</v>
      </c>
      <c r="S2286" s="12"/>
      <c r="T2286" s="12"/>
      <c r="U2286" s="10" t="str">
        <f>HYPERLINK("https://pbs.twimg.com/profile_images/1070628101653233664/Q-tTI286.jpg","View")</f>
        <v>View</v>
      </c>
    </row>
    <row r="2287" spans="1:21" ht="40.799999999999997">
      <c r="A2287" s="6">
        <v>43436.460335648153</v>
      </c>
      <c r="B2287" s="7" t="str">
        <f>HYPERLINK("https://twitter.com/Sanfermin00","@Sanfermin00")</f>
        <v>@Sanfermin00</v>
      </c>
      <c r="C2287" s="8" t="s">
        <v>1618</v>
      </c>
      <c r="D2287" s="9" t="s">
        <v>7838</v>
      </c>
      <c r="E2287" s="10" t="str">
        <f>HYPERLINK("https://twitter.com/Sanfermin00/status/1069170028153643008","1069170028153643008")</f>
        <v>1069170028153643008</v>
      </c>
      <c r="F2287" s="11" t="s">
        <v>7839</v>
      </c>
      <c r="G2287" s="12"/>
      <c r="H2287" s="12"/>
      <c r="I2287" s="13">
        <v>0</v>
      </c>
      <c r="J2287" s="13">
        <v>0</v>
      </c>
      <c r="K2287" s="14" t="str">
        <f>HYPERLINK("http://twitter.com","Twitter Web Client")</f>
        <v>Twitter Web Client</v>
      </c>
      <c r="L2287" s="13">
        <v>16528</v>
      </c>
      <c r="M2287" s="13">
        <v>13714</v>
      </c>
      <c r="N2287" s="13">
        <v>122</v>
      </c>
      <c r="O2287" s="15"/>
      <c r="P2287" s="6">
        <v>42362.637083333335</v>
      </c>
      <c r="Q2287" s="16" t="s">
        <v>1619</v>
      </c>
      <c r="R2287" s="17" t="s">
        <v>1620</v>
      </c>
      <c r="S2287" s="11" t="s">
        <v>1621</v>
      </c>
      <c r="T2287" s="12"/>
      <c r="U2287" s="10" t="str">
        <f>HYPERLINK("https://pbs.twimg.com/profile_images/1064102923624480768/j11dV2-u.jpg","View")</f>
        <v>View</v>
      </c>
    </row>
    <row r="2288" spans="1:21" ht="20.399999999999999">
      <c r="A2288" s="6">
        <v>43436.458391203705</v>
      </c>
      <c r="B2288" s="7" t="str">
        <f>HYPERLINK("https://twitter.com/TeresaGS26","@TeresaGS26")</f>
        <v>@TeresaGS26</v>
      </c>
      <c r="C2288" s="8" t="s">
        <v>1228</v>
      </c>
      <c r="D2288" s="9" t="s">
        <v>7840</v>
      </c>
      <c r="E2288" s="10" t="str">
        <f>HYPERLINK("https://twitter.com/TeresaGS26/status/1069169323477004288","1069169323477004288")</f>
        <v>1069169323477004288</v>
      </c>
      <c r="F2288" s="11" t="s">
        <v>7100</v>
      </c>
      <c r="G2288" s="12"/>
      <c r="H2288" s="12"/>
      <c r="I2288" s="13">
        <v>0</v>
      </c>
      <c r="J2288" s="13">
        <v>0</v>
      </c>
      <c r="K2288" s="14" t="str">
        <f>HYPERLINK("http://twitter.com/download/iphone","Twitter for iPhone")</f>
        <v>Twitter for iPhone</v>
      </c>
      <c r="L2288" s="13">
        <v>843</v>
      </c>
      <c r="M2288" s="13">
        <v>1019</v>
      </c>
      <c r="N2288" s="13">
        <v>18</v>
      </c>
      <c r="O2288" s="15"/>
      <c r="P2288" s="6">
        <v>42241.614548611113</v>
      </c>
      <c r="Q2288" s="12"/>
      <c r="R2288" s="17" t="s">
        <v>1230</v>
      </c>
      <c r="S2288" s="12"/>
      <c r="T2288" s="12"/>
      <c r="U2288" s="10" t="str">
        <f>HYPERLINK("https://pbs.twimg.com/profile_images/636159808249446400/2J9thX4B.jpg","View")</f>
        <v>View</v>
      </c>
    </row>
    <row r="2289" spans="1:21" ht="30.6">
      <c r="A2289" s="6">
        <v>43436.45689814815</v>
      </c>
      <c r="B2289" s="7" t="str">
        <f>HYPERLINK("https://twitter.com/ecdlcsoft","@ecdlcsoft")</f>
        <v>@ecdlcsoft</v>
      </c>
      <c r="C2289" s="8" t="s">
        <v>7841</v>
      </c>
      <c r="D2289" s="9" t="s">
        <v>7592</v>
      </c>
      <c r="E2289" s="10" t="str">
        <f>HYPERLINK("https://twitter.com/ecdlcsoft/status/1069168784060100608","1069168784060100608")</f>
        <v>1069168784060100608</v>
      </c>
      <c r="F2289" s="11" t="s">
        <v>7100</v>
      </c>
      <c r="G2289" s="12"/>
      <c r="H2289" s="12"/>
      <c r="I2289" s="13">
        <v>0</v>
      </c>
      <c r="J2289" s="13">
        <v>0</v>
      </c>
      <c r="K2289" s="14" t="str">
        <f>HYPERLINK("http://twitter.com","Twitter Web Client")</f>
        <v>Twitter Web Client</v>
      </c>
      <c r="L2289" s="13">
        <v>1031</v>
      </c>
      <c r="M2289" s="13">
        <v>2420</v>
      </c>
      <c r="N2289" s="13">
        <v>96</v>
      </c>
      <c r="O2289" s="15"/>
      <c r="P2289" s="6">
        <v>42319.773900462962</v>
      </c>
      <c r="Q2289" s="16" t="s">
        <v>7842</v>
      </c>
      <c r="R2289" s="17" t="s">
        <v>7843</v>
      </c>
      <c r="S2289" s="12"/>
      <c r="T2289" s="12"/>
      <c r="U2289" s="10" t="str">
        <f>HYPERLINK("https://pbs.twimg.com/profile_images/1057795036283314176/Hpfmu9RH.jpg","View")</f>
        <v>View</v>
      </c>
    </row>
    <row r="2290" spans="1:21" ht="40.799999999999997">
      <c r="A2290" s="6">
        <v>43436.456574074073</v>
      </c>
      <c r="B2290" s="7" t="str">
        <f>HYPERLINK("https://twitter.com/eduardocerezo","@eduardocerezo")</f>
        <v>@eduardocerezo</v>
      </c>
      <c r="C2290" s="8" t="s">
        <v>7844</v>
      </c>
      <c r="D2290" s="9" t="s">
        <v>7845</v>
      </c>
      <c r="E2290" s="10" t="str">
        <f>HYPERLINK("https://twitter.com/eduardocerezo/status/1069168664912510976","1069168664912510976")</f>
        <v>1069168664912510976</v>
      </c>
      <c r="F2290" s="12"/>
      <c r="G2290" s="11" t="s">
        <v>7846</v>
      </c>
      <c r="H2290" s="12"/>
      <c r="I2290" s="13">
        <v>0</v>
      </c>
      <c r="J2290" s="13">
        <v>1</v>
      </c>
      <c r="K2290" s="14" t="str">
        <f t="shared" ref="K2290:K2291" si="410">HYPERLINK("http://twitter.com/download/iphone","Twitter for iPhone")</f>
        <v>Twitter for iPhone</v>
      </c>
      <c r="L2290" s="13">
        <v>1774</v>
      </c>
      <c r="M2290" s="13">
        <v>2240</v>
      </c>
      <c r="N2290" s="13">
        <v>98</v>
      </c>
      <c r="O2290" s="15"/>
      <c r="P2290" s="6">
        <v>40518.058148148149</v>
      </c>
      <c r="Q2290" s="16" t="s">
        <v>7847</v>
      </c>
      <c r="R2290" s="17" t="s">
        <v>7848</v>
      </c>
      <c r="S2290" s="11" t="s">
        <v>7849</v>
      </c>
      <c r="T2290" s="12"/>
      <c r="U2290" s="10" t="str">
        <f>HYPERLINK("https://pbs.twimg.com/profile_images/907180528838823936/VKd-xGAr.jpg","View")</f>
        <v>View</v>
      </c>
    </row>
    <row r="2291" spans="1:21" ht="51">
      <c r="A2291" s="6">
        <v>43436.449699074074</v>
      </c>
      <c r="B2291" s="7" t="str">
        <f>HYPERLINK("https://twitter.com/palomastban","@palomastban")</f>
        <v>@palomastban</v>
      </c>
      <c r="C2291" s="8" t="s">
        <v>7850</v>
      </c>
      <c r="D2291" s="9" t="s">
        <v>7851</v>
      </c>
      <c r="E2291" s="10" t="str">
        <f>HYPERLINK("https://twitter.com/palomastban/status/1069166173202325504","1069166173202325504")</f>
        <v>1069166173202325504</v>
      </c>
      <c r="F2291" s="12"/>
      <c r="G2291" s="12"/>
      <c r="H2291" s="12"/>
      <c r="I2291" s="13">
        <v>0</v>
      </c>
      <c r="J2291" s="13">
        <v>1</v>
      </c>
      <c r="K2291" s="14" t="str">
        <f t="shared" si="410"/>
        <v>Twitter for iPhone</v>
      </c>
      <c r="L2291" s="13">
        <v>134</v>
      </c>
      <c r="M2291" s="13">
        <v>91</v>
      </c>
      <c r="N2291" s="13">
        <v>0</v>
      </c>
      <c r="O2291" s="15"/>
      <c r="P2291" s="6">
        <v>42876.964675925927</v>
      </c>
      <c r="Q2291" s="12"/>
      <c r="R2291" s="17" t="s">
        <v>7852</v>
      </c>
      <c r="S2291" s="12"/>
      <c r="T2291" s="12"/>
      <c r="U2291" s="10" t="str">
        <f>HYPERLINK("https://pbs.twimg.com/profile_images/946966792790007810/3oupXXHX.jpg","View")</f>
        <v>View</v>
      </c>
    </row>
    <row r="2292" spans="1:21" ht="20.399999999999999">
      <c r="A2292" s="6">
        <v>43436.441458333335</v>
      </c>
      <c r="B2292" s="7" t="str">
        <f>HYPERLINK("https://twitter.com/UlisesHillan","@UlisesHillan")</f>
        <v>@UlisesHillan</v>
      </c>
      <c r="C2292" s="8" t="s">
        <v>7853</v>
      </c>
      <c r="D2292" s="9" t="s">
        <v>4961</v>
      </c>
      <c r="E2292" s="10" t="str">
        <f>HYPERLINK("https://twitter.com/UlisesHillan/status/1069163187512242176","1069163187512242176")</f>
        <v>1069163187512242176</v>
      </c>
      <c r="F2292" s="11" t="s">
        <v>4962</v>
      </c>
      <c r="G2292" s="12"/>
      <c r="H2292" s="12"/>
      <c r="I2292" s="13">
        <v>2</v>
      </c>
      <c r="J2292" s="13">
        <v>2</v>
      </c>
      <c r="K2292" s="14" t="str">
        <f>HYPERLINK("http://twitter.com","Twitter Web Client")</f>
        <v>Twitter Web Client</v>
      </c>
      <c r="L2292" s="13">
        <v>454</v>
      </c>
      <c r="M2292" s="13">
        <v>1303</v>
      </c>
      <c r="N2292" s="13">
        <v>1</v>
      </c>
      <c r="O2292" s="15"/>
      <c r="P2292" s="6">
        <v>43215.745092592595</v>
      </c>
      <c r="Q2292" s="12"/>
      <c r="R2292" s="17" t="s">
        <v>7854</v>
      </c>
      <c r="S2292" s="12"/>
      <c r="T2292" s="12"/>
      <c r="U2292" s="10" t="str">
        <f>HYPERLINK("https://pbs.twimg.com/profile_images/994498356348162048/fqZ7J-IN.jpg","View")</f>
        <v>View</v>
      </c>
    </row>
    <row r="2293" spans="1:21" ht="40.799999999999997">
      <c r="A2293" s="6">
        <v>43436.441076388888</v>
      </c>
      <c r="B2293" s="7" t="str">
        <f>HYPERLINK("https://twitter.com/misslasoul","@misslasoul")</f>
        <v>@misslasoul</v>
      </c>
      <c r="C2293" s="8" t="s">
        <v>7855</v>
      </c>
      <c r="D2293" s="9" t="s">
        <v>7856</v>
      </c>
      <c r="E2293" s="10" t="str">
        <f>HYPERLINK("https://twitter.com/misslasoul/status/1069163049595150336","1069163049595150336")</f>
        <v>1069163049595150336</v>
      </c>
      <c r="F2293" s="12"/>
      <c r="G2293" s="12"/>
      <c r="H2293" s="12"/>
      <c r="I2293" s="13">
        <v>0</v>
      </c>
      <c r="J2293" s="13">
        <v>2</v>
      </c>
      <c r="K2293" s="14" t="str">
        <f t="shared" ref="K2293:K2294" si="411">HYPERLINK("http://twitter.com/download/android","Twitter for Android")</f>
        <v>Twitter for Android</v>
      </c>
      <c r="L2293" s="13">
        <v>333</v>
      </c>
      <c r="M2293" s="13">
        <v>867</v>
      </c>
      <c r="N2293" s="13">
        <v>33</v>
      </c>
      <c r="O2293" s="15"/>
      <c r="P2293" s="6">
        <v>40818.53260416667</v>
      </c>
      <c r="Q2293" s="16" t="s">
        <v>7857</v>
      </c>
      <c r="R2293" s="17" t="s">
        <v>7858</v>
      </c>
      <c r="S2293" s="11" t="s">
        <v>7859</v>
      </c>
      <c r="T2293" s="12"/>
      <c r="U2293" s="10" t="str">
        <f>HYPERLINK("https://pbs.twimg.com/profile_images/472002736490151937/iV0mONGm.jpeg","View")</f>
        <v>View</v>
      </c>
    </row>
    <row r="2294" spans="1:21" ht="13.2">
      <c r="A2294" s="6">
        <v>43436.435752314814</v>
      </c>
      <c r="B2294" s="7" t="str">
        <f>HYPERLINK("https://twitter.com/Julianvirome","@Julianvirome")</f>
        <v>@Julianvirome</v>
      </c>
      <c r="C2294" s="8" t="s">
        <v>457</v>
      </c>
      <c r="D2294" s="9" t="s">
        <v>7861</v>
      </c>
      <c r="E2294" s="10" t="str">
        <f>HYPERLINK("https://twitter.com/Julianvirome/status/1069161119036702720","1069161119036702720")</f>
        <v>1069161119036702720</v>
      </c>
      <c r="F2294" s="11" t="s">
        <v>4962</v>
      </c>
      <c r="G2294" s="12"/>
      <c r="H2294" s="12"/>
      <c r="I2294" s="13">
        <v>0</v>
      </c>
      <c r="J2294" s="13">
        <v>0</v>
      </c>
      <c r="K2294" s="14" t="str">
        <f t="shared" si="411"/>
        <v>Twitter for Android</v>
      </c>
      <c r="L2294" s="13">
        <v>2630</v>
      </c>
      <c r="M2294" s="13">
        <v>4994</v>
      </c>
      <c r="N2294" s="13">
        <v>23</v>
      </c>
      <c r="O2294" s="15"/>
      <c r="P2294" s="6">
        <v>40630.875810185185</v>
      </c>
      <c r="Q2294" s="16" t="s">
        <v>191</v>
      </c>
      <c r="R2294" s="17" t="s">
        <v>459</v>
      </c>
      <c r="S2294" s="12"/>
      <c r="T2294" s="12"/>
      <c r="U2294" s="10" t="str">
        <f>HYPERLINK("https://pbs.twimg.com/profile_images/1015475281803530241/aBROVKXy.jpg","View")</f>
        <v>View</v>
      </c>
    </row>
    <row r="2295" spans="1:21" ht="20.399999999999999">
      <c r="A2295" s="6">
        <v>43436.432638888888</v>
      </c>
      <c r="B2295" s="7" t="str">
        <f>HYPERLINK("https://twitter.com/Phcourtet","@Phcourtet")</f>
        <v>@Phcourtet</v>
      </c>
      <c r="C2295" s="8" t="s">
        <v>7863</v>
      </c>
      <c r="D2295" s="9" t="s">
        <v>7840</v>
      </c>
      <c r="E2295" s="10" t="str">
        <f>HYPERLINK("https://twitter.com/Phcourtet/status/1069159990462767105","1069159990462767105")</f>
        <v>1069159990462767105</v>
      </c>
      <c r="F2295" s="11" t="s">
        <v>7100</v>
      </c>
      <c r="G2295" s="12"/>
      <c r="H2295" s="12"/>
      <c r="I2295" s="13">
        <v>0</v>
      </c>
      <c r="J2295" s="13">
        <v>0</v>
      </c>
      <c r="K2295" s="14" t="str">
        <f>HYPERLINK("http://twitter.com/#!/download/ipad","Twitter for iPad")</f>
        <v>Twitter for iPad</v>
      </c>
      <c r="L2295" s="13">
        <v>443</v>
      </c>
      <c r="M2295" s="13">
        <v>227</v>
      </c>
      <c r="N2295" s="13">
        <v>42</v>
      </c>
      <c r="O2295" s="15"/>
      <c r="P2295" s="6">
        <v>42596.714201388888</v>
      </c>
      <c r="Q2295" s="12"/>
      <c r="R2295" s="17" t="s">
        <v>7864</v>
      </c>
      <c r="S2295" s="12"/>
      <c r="T2295" s="12"/>
      <c r="U2295" s="10" t="str">
        <f>HYPERLINK("https://pbs.twimg.com/profile_images/990305227478851585/snE-VeNZ.jpg","View")</f>
        <v>View</v>
      </c>
    </row>
    <row r="2296" spans="1:21" ht="20.399999999999999">
      <c r="A2296" s="6">
        <v>43436.431863425925</v>
      </c>
      <c r="B2296" s="7" t="str">
        <f>HYPERLINK("https://twitter.com/MjbMiguel1980","@MjbMiguel1980")</f>
        <v>@MjbMiguel1980</v>
      </c>
      <c r="C2296" s="8" t="s">
        <v>7865</v>
      </c>
      <c r="D2296" s="9" t="s">
        <v>7866</v>
      </c>
      <c r="E2296" s="10" t="str">
        <f>HYPERLINK("https://twitter.com/MjbMiguel1980/status/1069159708517257216","1069159708517257216")</f>
        <v>1069159708517257216</v>
      </c>
      <c r="F2296" s="11" t="s">
        <v>7867</v>
      </c>
      <c r="G2296" s="12"/>
      <c r="H2296" s="12"/>
      <c r="I2296" s="13">
        <v>0</v>
      </c>
      <c r="J2296" s="13">
        <v>0</v>
      </c>
      <c r="K2296" s="14" t="str">
        <f>HYPERLINK("https://www.google.com/","Google")</f>
        <v>Google</v>
      </c>
      <c r="L2296" s="13">
        <v>12</v>
      </c>
      <c r="M2296" s="13">
        <v>63</v>
      </c>
      <c r="N2296" s="13">
        <v>0</v>
      </c>
      <c r="O2296" s="15"/>
      <c r="P2296" s="6">
        <v>41955.620578703703</v>
      </c>
      <c r="Q2296" s="12"/>
      <c r="R2296" s="20"/>
      <c r="S2296" s="12"/>
      <c r="T2296" s="12"/>
      <c r="U2296" s="10" t="str">
        <f>HYPERLINK("https://pbs.twimg.com/profile_images/590183738492977152/lMPE1R1q.jpg","View")</f>
        <v>View</v>
      </c>
    </row>
    <row r="2297" spans="1:21" ht="30.6">
      <c r="A2297" s="6">
        <v>43436.430925925924</v>
      </c>
      <c r="B2297" s="7" t="str">
        <f>HYPERLINK("https://twitter.com/GabriPascual","@GabriPascual")</f>
        <v>@GabriPascual</v>
      </c>
      <c r="C2297" s="8" t="s">
        <v>7868</v>
      </c>
      <c r="D2297" s="9" t="s">
        <v>7694</v>
      </c>
      <c r="E2297" s="10" t="str">
        <f>HYPERLINK("https://twitter.com/GabriPascual/status/1069159369936437248","1069159369936437248")</f>
        <v>1069159369936437248</v>
      </c>
      <c r="F2297" s="11" t="s">
        <v>7869</v>
      </c>
      <c r="G2297" s="12"/>
      <c r="H2297" s="12"/>
      <c r="I2297" s="13">
        <v>0</v>
      </c>
      <c r="J2297" s="13">
        <v>0</v>
      </c>
      <c r="K2297" s="14" t="str">
        <f>HYPERLINK("http://twitter.com/download/iphone","Twitter for iPhone")</f>
        <v>Twitter for iPhone</v>
      </c>
      <c r="L2297" s="13">
        <v>844</v>
      </c>
      <c r="M2297" s="13">
        <v>1411</v>
      </c>
      <c r="N2297" s="13">
        <v>40</v>
      </c>
      <c r="O2297" s="15"/>
      <c r="P2297" s="6">
        <v>40679.068043981482</v>
      </c>
      <c r="Q2297" s="16" t="s">
        <v>7870</v>
      </c>
      <c r="R2297" s="17" t="s">
        <v>7871</v>
      </c>
      <c r="S2297" s="16" t="s">
        <v>7872</v>
      </c>
      <c r="T2297" s="12"/>
      <c r="U2297" s="10" t="str">
        <f>HYPERLINK("https://pbs.twimg.com/profile_images/1012994033428426752/JqVf2kcS.jpg","View")</f>
        <v>View</v>
      </c>
    </row>
    <row r="2298" spans="1:21" ht="51">
      <c r="A2298" s="6">
        <v>43436.429120370369</v>
      </c>
      <c r="B2298" s="7" t="str">
        <f>HYPERLINK("https://twitter.com/FinciasIRuiz","@FinciasIRuiz")</f>
        <v>@FinciasIRuiz</v>
      </c>
      <c r="C2298" s="8" t="s">
        <v>7873</v>
      </c>
      <c r="D2298" s="9" t="s">
        <v>7874</v>
      </c>
      <c r="E2298" s="10" t="str">
        <f>HYPERLINK("https://twitter.com/FinciasIRuiz/status/1069158716057010176","1069158716057010176")</f>
        <v>1069158716057010176</v>
      </c>
      <c r="F2298" s="11" t="s">
        <v>7875</v>
      </c>
      <c r="G2298" s="12"/>
      <c r="H2298" s="12"/>
      <c r="I2298" s="13">
        <v>1</v>
      </c>
      <c r="J2298" s="13">
        <v>4</v>
      </c>
      <c r="K2298" s="14" t="str">
        <f>HYPERLINK("http://twitter.com/download/android","Twitter for Android")</f>
        <v>Twitter for Android</v>
      </c>
      <c r="L2298" s="13">
        <v>72</v>
      </c>
      <c r="M2298" s="13">
        <v>229</v>
      </c>
      <c r="N2298" s="13">
        <v>1</v>
      </c>
      <c r="O2298" s="15"/>
      <c r="P2298" s="6">
        <v>43161.478796296295</v>
      </c>
      <c r="Q2298" s="16" t="s">
        <v>30</v>
      </c>
      <c r="R2298" s="20"/>
      <c r="S2298" s="12"/>
      <c r="T2298" s="12"/>
      <c r="U2298" s="10" t="str">
        <f>HYPERLINK("https://pbs.twimg.com/profile_images/970239637296906240/M4mmKlFE.jpg","View")</f>
        <v>View</v>
      </c>
    </row>
    <row r="2299" spans="1:21" ht="40.799999999999997">
      <c r="A2299" s="6">
        <v>43436.426284722227</v>
      </c>
      <c r="B2299" s="7" t="str">
        <f>HYPERLINK("https://twitter.com/DRYmadrid","@DRYmadrid")</f>
        <v>@DRYmadrid</v>
      </c>
      <c r="C2299" s="8" t="s">
        <v>294</v>
      </c>
      <c r="D2299" s="9" t="s">
        <v>7876</v>
      </c>
      <c r="E2299" s="10" t="str">
        <f>HYPERLINK("https://twitter.com/DRYmadrid/status/1069157687886323712","1069157687886323712")</f>
        <v>1069157687886323712</v>
      </c>
      <c r="F2299" s="11" t="s">
        <v>7877</v>
      </c>
      <c r="G2299" s="12"/>
      <c r="H2299" s="12"/>
      <c r="I2299" s="13">
        <v>2</v>
      </c>
      <c r="J2299" s="13">
        <v>1</v>
      </c>
      <c r="K2299" s="14" t="str">
        <f>HYPERLINK("http://www.facebook.com/twitter","Facebook")</f>
        <v>Facebook</v>
      </c>
      <c r="L2299" s="13">
        <v>30015</v>
      </c>
      <c r="M2299" s="13">
        <v>1564</v>
      </c>
      <c r="N2299" s="13">
        <v>665</v>
      </c>
      <c r="O2299" s="15"/>
      <c r="P2299" s="6">
        <v>40680.0078125</v>
      </c>
      <c r="Q2299" s="16" t="s">
        <v>191</v>
      </c>
      <c r="R2299" s="17" t="s">
        <v>297</v>
      </c>
      <c r="S2299" s="11" t="s">
        <v>298</v>
      </c>
      <c r="T2299" s="12"/>
      <c r="U2299" s="10" t="str">
        <f>HYPERLINK("https://pbs.twimg.com/profile_images/2779083725/26a5da2da144938bba56e71e88561381.jpeg","View")</f>
        <v>View</v>
      </c>
    </row>
    <row r="2300" spans="1:21" ht="30.6">
      <c r="A2300" s="6">
        <v>43436.424907407403</v>
      </c>
      <c r="B2300" s="7" t="str">
        <f>HYPERLINK("https://twitter.com/xavaz","@xavaz")</f>
        <v>@xavaz</v>
      </c>
      <c r="C2300" s="8" t="s">
        <v>7878</v>
      </c>
      <c r="D2300" s="9" t="s">
        <v>7879</v>
      </c>
      <c r="E2300" s="10" t="str">
        <f>HYPERLINK("https://twitter.com/xavaz/status/1069157190274039810","1069157190274039810")</f>
        <v>1069157190274039810</v>
      </c>
      <c r="F2300" s="12"/>
      <c r="G2300" s="11" t="s">
        <v>7880</v>
      </c>
      <c r="H2300" s="12"/>
      <c r="I2300" s="13">
        <v>0</v>
      </c>
      <c r="J2300" s="13">
        <v>4</v>
      </c>
      <c r="K2300" s="14" t="str">
        <f>HYPERLINK("http://twitter.com/download/android","Twitter for Android")</f>
        <v>Twitter for Android</v>
      </c>
      <c r="L2300" s="13">
        <v>432</v>
      </c>
      <c r="M2300" s="13">
        <v>495</v>
      </c>
      <c r="N2300" s="13">
        <v>3</v>
      </c>
      <c r="O2300" s="15"/>
      <c r="P2300" s="6">
        <v>43093.757337962961</v>
      </c>
      <c r="Q2300" s="16" t="s">
        <v>3053</v>
      </c>
      <c r="R2300" s="17" t="s">
        <v>7881</v>
      </c>
      <c r="S2300" s="12"/>
      <c r="T2300" s="12"/>
      <c r="U2300" s="10" t="str">
        <f>HYPERLINK("https://pbs.twimg.com/profile_images/949668500309766145/UQdIzHAs.jpg","View")</f>
        <v>View</v>
      </c>
    </row>
    <row r="2301" spans="1:21" ht="51">
      <c r="A2301" s="6">
        <v>43436.424513888887</v>
      </c>
      <c r="B2301" s="7" t="str">
        <f>HYPERLINK("https://twitter.com/DEEMIAN666","@DEEMIAN666")</f>
        <v>@DEEMIAN666</v>
      </c>
      <c r="C2301" s="8" t="s">
        <v>7882</v>
      </c>
      <c r="D2301" s="9" t="s">
        <v>7883</v>
      </c>
      <c r="E2301" s="10" t="str">
        <f>HYPERLINK("https://twitter.com/DEEMIAN666/status/1069157044526227456","1069157044526227456")</f>
        <v>1069157044526227456</v>
      </c>
      <c r="F2301" s="11" t="s">
        <v>7884</v>
      </c>
      <c r="G2301" s="12"/>
      <c r="H2301" s="12"/>
      <c r="I2301" s="13">
        <v>0</v>
      </c>
      <c r="J2301" s="13">
        <v>0</v>
      </c>
      <c r="K2301" s="14" t="str">
        <f>HYPERLINK("http://twitter.com","Twitter Web Client")</f>
        <v>Twitter Web Client</v>
      </c>
      <c r="L2301" s="13">
        <v>4506</v>
      </c>
      <c r="M2301" s="13">
        <v>4997</v>
      </c>
      <c r="N2301" s="13">
        <v>55</v>
      </c>
      <c r="O2301" s="15"/>
      <c r="P2301" s="6">
        <v>40684.980509259258</v>
      </c>
      <c r="Q2301" s="12"/>
      <c r="R2301" s="17" t="s">
        <v>7885</v>
      </c>
      <c r="S2301" s="12"/>
      <c r="T2301" s="12"/>
      <c r="U2301" s="10" t="str">
        <f>HYPERLINK("https://pbs.twimg.com/profile_images/916260089492901888/9JPdWu1Q.jpg","View")</f>
        <v>View</v>
      </c>
    </row>
    <row r="2302" spans="1:21" ht="51">
      <c r="A2302" s="6">
        <v>43436.423819444448</v>
      </c>
      <c r="B2302" s="7" t="str">
        <f>HYPERLINK("https://twitter.com/JMPGCV","@JMPGCV")</f>
        <v>@JMPGCV</v>
      </c>
      <c r="C2302" s="8" t="s">
        <v>7886</v>
      </c>
      <c r="D2302" s="9" t="s">
        <v>7887</v>
      </c>
      <c r="E2302" s="10" t="str">
        <f>HYPERLINK("https://twitter.com/JMPGCV/status/1069156796424687616","1069156796424687616")</f>
        <v>1069156796424687616</v>
      </c>
      <c r="F2302" s="12"/>
      <c r="G2302" s="11" t="s">
        <v>7888</v>
      </c>
      <c r="H2302" s="12"/>
      <c r="I2302" s="13">
        <v>10</v>
      </c>
      <c r="J2302" s="13">
        <v>11</v>
      </c>
      <c r="K2302" s="14" t="str">
        <f t="shared" ref="K2302:K2304" si="412">HYPERLINK("http://twitter.com/download/android","Twitter for Android")</f>
        <v>Twitter for Android</v>
      </c>
      <c r="L2302" s="13">
        <v>2739</v>
      </c>
      <c r="M2302" s="13">
        <v>2196</v>
      </c>
      <c r="N2302" s="13">
        <v>18</v>
      </c>
      <c r="O2302" s="15"/>
      <c r="P2302" s="6">
        <v>42675.898402777777</v>
      </c>
      <c r="Q2302" s="16" t="s">
        <v>7889</v>
      </c>
      <c r="R2302" s="17" t="s">
        <v>7890</v>
      </c>
      <c r="S2302" s="11" t="s">
        <v>7891</v>
      </c>
      <c r="T2302" s="12"/>
      <c r="U2302" s="10" t="str">
        <f>HYPERLINK("https://pbs.twimg.com/profile_images/1031413675595313152/tKHMq_JJ.jpg","View")</f>
        <v>View</v>
      </c>
    </row>
    <row r="2303" spans="1:21" ht="20.399999999999999">
      <c r="A2303" s="6">
        <v>43436.422094907408</v>
      </c>
      <c r="B2303" s="7" t="str">
        <f>HYPERLINK("https://twitter.com/Luca_Piluso","@Luca_Piluso")</f>
        <v>@Luca_Piluso</v>
      </c>
      <c r="C2303" s="8" t="s">
        <v>7892</v>
      </c>
      <c r="D2303" s="9" t="s">
        <v>7893</v>
      </c>
      <c r="E2303" s="10" t="str">
        <f>HYPERLINK("https://twitter.com/Luca_Piluso/status/1069156171213406213","1069156171213406213")</f>
        <v>1069156171213406213</v>
      </c>
      <c r="F2303" s="11" t="s">
        <v>7756</v>
      </c>
      <c r="G2303" s="12"/>
      <c r="H2303" s="12"/>
      <c r="I2303" s="13">
        <v>0</v>
      </c>
      <c r="J2303" s="13">
        <v>0</v>
      </c>
      <c r="K2303" s="14" t="str">
        <f t="shared" si="412"/>
        <v>Twitter for Android</v>
      </c>
      <c r="L2303" s="13">
        <v>4</v>
      </c>
      <c r="M2303" s="13">
        <v>89</v>
      </c>
      <c r="N2303" s="13">
        <v>0</v>
      </c>
      <c r="O2303" s="15"/>
      <c r="P2303" s="6">
        <v>41277.476539351854</v>
      </c>
      <c r="Q2303" s="12"/>
      <c r="R2303" s="20"/>
      <c r="S2303" s="11" t="s">
        <v>7894</v>
      </c>
      <c r="T2303" s="12"/>
      <c r="U2303" s="10" t="str">
        <f>HYPERLINK("https://pbs.twimg.com/profile_images/1067835304038547456/jMU-cOSb.jpg","View")</f>
        <v>View</v>
      </c>
    </row>
    <row r="2304" spans="1:21" ht="40.799999999999997">
      <c r="A2304" s="6">
        <v>43436.421620370369</v>
      </c>
      <c r="B2304" s="7" t="str">
        <f>HYPERLINK("https://twitter.com/BromiusBCN","@BromiusBCN")</f>
        <v>@BromiusBCN</v>
      </c>
      <c r="C2304" s="8" t="s">
        <v>622</v>
      </c>
      <c r="D2304" s="9" t="s">
        <v>7895</v>
      </c>
      <c r="E2304" s="10" t="str">
        <f>HYPERLINK("https://twitter.com/BromiusBCN/status/1069155999137841152","1069155999137841152")</f>
        <v>1069155999137841152</v>
      </c>
      <c r="F2304" s="11" t="s">
        <v>7100</v>
      </c>
      <c r="G2304" s="12"/>
      <c r="H2304" s="12"/>
      <c r="I2304" s="13">
        <v>5</v>
      </c>
      <c r="J2304" s="13">
        <v>8</v>
      </c>
      <c r="K2304" s="14" t="str">
        <f t="shared" si="412"/>
        <v>Twitter for Android</v>
      </c>
      <c r="L2304" s="13">
        <v>1875</v>
      </c>
      <c r="M2304" s="13">
        <v>879</v>
      </c>
      <c r="N2304" s="13">
        <v>6</v>
      </c>
      <c r="O2304" s="15"/>
      <c r="P2304" s="6">
        <v>43098.393541666665</v>
      </c>
      <c r="Q2304" s="16" t="s">
        <v>625</v>
      </c>
      <c r="R2304" s="17" t="s">
        <v>626</v>
      </c>
      <c r="S2304" s="11" t="s">
        <v>627</v>
      </c>
      <c r="T2304" s="12"/>
      <c r="U2304" s="10" t="str">
        <f>HYPERLINK("https://pbs.twimg.com/profile_images/1053535046399868928/5zG4nRdC.jpg","View")</f>
        <v>View</v>
      </c>
    </row>
    <row r="2305" spans="1:21" ht="20.399999999999999">
      <c r="A2305" s="6">
        <v>43436.420219907406</v>
      </c>
      <c r="B2305" s="7" t="str">
        <f>HYPERLINK("https://twitter.com/OscarMuS","@OscarMuS")</f>
        <v>@OscarMuS</v>
      </c>
      <c r="C2305" s="8" t="s">
        <v>7896</v>
      </c>
      <c r="D2305" s="9" t="s">
        <v>4961</v>
      </c>
      <c r="E2305" s="10" t="str">
        <f>HYPERLINK("https://twitter.com/OscarMuS/status/1069155490997911552","1069155490997911552")</f>
        <v>1069155490997911552</v>
      </c>
      <c r="F2305" s="11" t="s">
        <v>4962</v>
      </c>
      <c r="G2305" s="12"/>
      <c r="H2305" s="12"/>
      <c r="I2305" s="13">
        <v>0</v>
      </c>
      <c r="J2305" s="13">
        <v>0</v>
      </c>
      <c r="K2305" s="14" t="str">
        <f>HYPERLINK("http://twitter.com","Twitter Web Client")</f>
        <v>Twitter Web Client</v>
      </c>
      <c r="L2305" s="13">
        <v>459</v>
      </c>
      <c r="M2305" s="13">
        <v>1772</v>
      </c>
      <c r="N2305" s="13">
        <v>22</v>
      </c>
      <c r="O2305" s="15"/>
      <c r="P2305" s="6">
        <v>39901.907743055555</v>
      </c>
      <c r="Q2305" s="16" t="s">
        <v>524</v>
      </c>
      <c r="R2305" s="20"/>
      <c r="S2305" s="12"/>
      <c r="T2305" s="12"/>
      <c r="U2305" s="10" t="str">
        <f>HYPERLINK("https://pbs.twimg.com/profile_images/973205470201696256/WIHHPsgS.jpg","View")</f>
        <v>View</v>
      </c>
    </row>
    <row r="2306" spans="1:21" ht="71.400000000000006">
      <c r="A2306" s="6">
        <v>43436.41810185185</v>
      </c>
      <c r="B2306" s="7" t="str">
        <f>HYPERLINK("https://twitter.com/Marc20F","@Marc20F")</f>
        <v>@Marc20F</v>
      </c>
      <c r="C2306" s="8" t="s">
        <v>7897</v>
      </c>
      <c r="D2306" s="9" t="s">
        <v>7898</v>
      </c>
      <c r="E2306" s="10" t="str">
        <f>HYPERLINK("https://twitter.com/Marc20F/status/1069154724396576769","1069154724396576769")</f>
        <v>1069154724396576769</v>
      </c>
      <c r="F2306" s="16" t="s">
        <v>5546</v>
      </c>
      <c r="G2306" s="12"/>
      <c r="H2306" s="12"/>
      <c r="I2306" s="13">
        <v>2</v>
      </c>
      <c r="J2306" s="13">
        <v>9</v>
      </c>
      <c r="K2306" s="14" t="str">
        <f>HYPERLINK("http://twitter.com/download/iphone","Twitter for iPhone")</f>
        <v>Twitter for iPhone</v>
      </c>
      <c r="L2306" s="13">
        <v>5733</v>
      </c>
      <c r="M2306" s="13">
        <v>3983</v>
      </c>
      <c r="N2306" s="13">
        <v>30</v>
      </c>
      <c r="O2306" s="15"/>
      <c r="P2306" s="6">
        <v>41031.537141203706</v>
      </c>
      <c r="Q2306" s="16" t="s">
        <v>7899</v>
      </c>
      <c r="R2306" s="17" t="s">
        <v>7900</v>
      </c>
      <c r="S2306" s="12"/>
      <c r="T2306" s="12"/>
      <c r="U2306" s="10" t="str">
        <f>HYPERLINK("https://pbs.twimg.com/profile_images/967658394738937856/kxyLY6sG.jpg","View")</f>
        <v>View</v>
      </c>
    </row>
    <row r="2307" spans="1:21" ht="51">
      <c r="A2307" s="6">
        <v>43436.416759259257</v>
      </c>
      <c r="B2307" s="7" t="str">
        <f>HYPERLINK("https://twitter.com/TheObjective_es","@TheObjective_es")</f>
        <v>@TheObjective_es</v>
      </c>
      <c r="C2307" s="8" t="s">
        <v>83</v>
      </c>
      <c r="D2307" s="9" t="s">
        <v>7901</v>
      </c>
      <c r="E2307" s="10" t="str">
        <f>HYPERLINK("https://twitter.com/TheObjective_es/status/1069154234459918336","1069154234459918336")</f>
        <v>1069154234459918336</v>
      </c>
      <c r="F2307" s="11" t="s">
        <v>7902</v>
      </c>
      <c r="G2307" s="12"/>
      <c r="H2307" s="12"/>
      <c r="I2307" s="13">
        <v>0</v>
      </c>
      <c r="J2307" s="13">
        <v>3</v>
      </c>
      <c r="K2307" s="14" t="str">
        <f>HYPERLINK("https://buffer.com","Buffer")</f>
        <v>Buffer</v>
      </c>
      <c r="L2307" s="13">
        <v>50878</v>
      </c>
      <c r="M2307" s="13">
        <v>704</v>
      </c>
      <c r="N2307" s="13">
        <v>1225</v>
      </c>
      <c r="O2307" s="15"/>
      <c r="P2307" s="6">
        <v>41473.393935185188</v>
      </c>
      <c r="Q2307" s="16" t="s">
        <v>86</v>
      </c>
      <c r="R2307" s="17" t="s">
        <v>87</v>
      </c>
      <c r="S2307" s="11" t="s">
        <v>88</v>
      </c>
      <c r="T2307" s="12"/>
      <c r="U2307" s="10" t="str">
        <f>HYPERLINK("https://pbs.twimg.com/profile_images/996760534082117632/umqvtWL2.jpg","View")</f>
        <v>View</v>
      </c>
    </row>
    <row r="2308" spans="1:21" ht="20.399999999999999">
      <c r="A2308" s="6">
        <v>43436.413657407407</v>
      </c>
      <c r="B2308" s="7" t="str">
        <f>HYPERLINK("https://twitter.com/JorgeHerreroxtv","@JorgeHerreroxtv")</f>
        <v>@JorgeHerreroxtv</v>
      </c>
      <c r="C2308" s="8" t="s">
        <v>2548</v>
      </c>
      <c r="D2308" s="9" t="s">
        <v>7903</v>
      </c>
      <c r="E2308" s="10" t="str">
        <f>HYPERLINK("https://twitter.com/JorgeHerreroxtv/status/1069153113360252928","1069153113360252928")</f>
        <v>1069153113360252928</v>
      </c>
      <c r="F2308" s="11" t="s">
        <v>7100</v>
      </c>
      <c r="G2308" s="12"/>
      <c r="H2308" s="12"/>
      <c r="I2308" s="13">
        <v>0</v>
      </c>
      <c r="J2308" s="13">
        <v>2</v>
      </c>
      <c r="K2308" s="14" t="str">
        <f t="shared" ref="K2308:K2311" si="413">HYPERLINK("http://twitter.com/download/android","Twitter for Android")</f>
        <v>Twitter for Android</v>
      </c>
      <c r="L2308" s="13">
        <v>3560</v>
      </c>
      <c r="M2308" s="13">
        <v>2122</v>
      </c>
      <c r="N2308" s="13">
        <v>38</v>
      </c>
      <c r="O2308" s="15"/>
      <c r="P2308" s="6">
        <v>41196.781770833331</v>
      </c>
      <c r="Q2308" s="16" t="s">
        <v>2549</v>
      </c>
      <c r="R2308" s="17" t="s">
        <v>2550</v>
      </c>
      <c r="S2308" s="12"/>
      <c r="T2308" s="12"/>
      <c r="U2308" s="10" t="str">
        <f>HYPERLINK("https://pbs.twimg.com/profile_images/1060850495340900353/KCOJWPxs.jpg","View")</f>
        <v>View</v>
      </c>
    </row>
    <row r="2309" spans="1:21" ht="40.799999999999997">
      <c r="A2309" s="6">
        <v>43436.412488425922</v>
      </c>
      <c r="B2309" s="7" t="str">
        <f>HYPERLINK("https://twitter.com/ArdeAbel","@ArdeAbel")</f>
        <v>@ArdeAbel</v>
      </c>
      <c r="C2309" s="8" t="s">
        <v>7904</v>
      </c>
      <c r="D2309" s="9" t="s">
        <v>7905</v>
      </c>
      <c r="E2309" s="10" t="str">
        <f>HYPERLINK("https://twitter.com/ArdeAbel/status/1069152688942841857","1069152688942841857")</f>
        <v>1069152688942841857</v>
      </c>
      <c r="F2309" s="12"/>
      <c r="G2309" s="12"/>
      <c r="H2309" s="12"/>
      <c r="I2309" s="13">
        <v>0</v>
      </c>
      <c r="J2309" s="13">
        <v>0</v>
      </c>
      <c r="K2309" s="14" t="str">
        <f t="shared" si="413"/>
        <v>Twitter for Android</v>
      </c>
      <c r="L2309" s="13">
        <v>10</v>
      </c>
      <c r="M2309" s="13">
        <v>37</v>
      </c>
      <c r="N2309" s="13">
        <v>0</v>
      </c>
      <c r="O2309" s="15"/>
      <c r="P2309" s="6">
        <v>43070.870011574079</v>
      </c>
      <c r="Q2309" s="16" t="s">
        <v>7906</v>
      </c>
      <c r="R2309" s="17" t="s">
        <v>7907</v>
      </c>
      <c r="S2309" s="12"/>
      <c r="T2309" s="12"/>
      <c r="U2309" s="10" t="str">
        <f>HYPERLINK("https://pbs.twimg.com/profile_images/936687758109790215/Urp3QmCN.jpg","View")</f>
        <v>View</v>
      </c>
    </row>
    <row r="2310" spans="1:21" ht="40.799999999999997">
      <c r="A2310" s="6">
        <v>43436.409467592588</v>
      </c>
      <c r="B2310" s="7" t="str">
        <f>HYPERLINK("https://twitter.com/AGUSTIJIMENEZ","@AGUSTIJIMENEZ")</f>
        <v>@AGUSTIJIMENEZ</v>
      </c>
      <c r="C2310" s="8" t="s">
        <v>7908</v>
      </c>
      <c r="D2310" s="9" t="s">
        <v>7909</v>
      </c>
      <c r="E2310" s="10" t="str">
        <f>HYPERLINK("https://twitter.com/AGUSTIJIMENEZ/status/1069151594741227525","1069151594741227525")</f>
        <v>1069151594741227525</v>
      </c>
      <c r="F2310" s="11" t="s">
        <v>7910</v>
      </c>
      <c r="G2310" s="11" t="s">
        <v>7911</v>
      </c>
      <c r="H2310" s="12"/>
      <c r="I2310" s="13">
        <v>3</v>
      </c>
      <c r="J2310" s="13">
        <v>11</v>
      </c>
      <c r="K2310" s="14" t="str">
        <f t="shared" si="413"/>
        <v>Twitter for Android</v>
      </c>
      <c r="L2310" s="13">
        <v>46338</v>
      </c>
      <c r="M2310" s="13">
        <v>1176</v>
      </c>
      <c r="N2310" s="13">
        <v>734</v>
      </c>
      <c r="O2310" s="15"/>
      <c r="P2310" s="6">
        <v>40585.120370370372</v>
      </c>
      <c r="Q2310" s="12"/>
      <c r="R2310" s="17" t="s">
        <v>7912</v>
      </c>
      <c r="S2310" s="12"/>
      <c r="T2310" s="12"/>
      <c r="U2310" s="10" t="str">
        <f>HYPERLINK("https://pbs.twimg.com/profile_images/1070383680093335552/zg7Axpe4.jpg","View")</f>
        <v>View</v>
      </c>
    </row>
    <row r="2311" spans="1:21" ht="30.6">
      <c r="A2311" s="6">
        <v>43436.407731481479</v>
      </c>
      <c r="B2311" s="7" t="str">
        <f>HYPERLINK("https://twitter.com/Rixartvs","@Rixartvs")</f>
        <v>@Rixartvs</v>
      </c>
      <c r="C2311" s="8" t="s">
        <v>7913</v>
      </c>
      <c r="D2311" s="9" t="s">
        <v>7914</v>
      </c>
      <c r="E2311" s="10" t="str">
        <f>HYPERLINK("https://twitter.com/Rixartvs/status/1069150964035346433","1069150964035346433")</f>
        <v>1069150964035346433</v>
      </c>
      <c r="F2311" s="12"/>
      <c r="G2311" s="12"/>
      <c r="H2311" s="12"/>
      <c r="I2311" s="13">
        <v>0</v>
      </c>
      <c r="J2311" s="13">
        <v>1</v>
      </c>
      <c r="K2311" s="14" t="str">
        <f t="shared" si="413"/>
        <v>Twitter for Android</v>
      </c>
      <c r="L2311" s="13">
        <v>2883</v>
      </c>
      <c r="M2311" s="13">
        <v>2826</v>
      </c>
      <c r="N2311" s="13">
        <v>26</v>
      </c>
      <c r="O2311" s="15"/>
      <c r="P2311" s="6">
        <v>41015.841956018521</v>
      </c>
      <c r="Q2311" s="16" t="s">
        <v>7915</v>
      </c>
      <c r="R2311" s="20"/>
      <c r="S2311" s="12"/>
      <c r="T2311" s="12"/>
      <c r="U2311" s="10" t="str">
        <f>HYPERLINK("https://pbs.twimg.com/profile_images/1034386981109858305/hTr3K8Uq.jpg","View")</f>
        <v>View</v>
      </c>
    </row>
    <row r="2312" spans="1:21" ht="20.399999999999999">
      <c r="A2312" s="6">
        <v>43436.404641203699</v>
      </c>
      <c r="B2312" s="7" t="str">
        <f>HYPERLINK("https://twitter.com/fcantero","@fcantero")</f>
        <v>@fcantero</v>
      </c>
      <c r="C2312" s="8" t="s">
        <v>7916</v>
      </c>
      <c r="D2312" s="9" t="s">
        <v>4961</v>
      </c>
      <c r="E2312" s="10" t="str">
        <f>HYPERLINK("https://twitter.com/fcantero/status/1069149846643359744","1069149846643359744")</f>
        <v>1069149846643359744</v>
      </c>
      <c r="F2312" s="11" t="s">
        <v>4962</v>
      </c>
      <c r="G2312" s="12"/>
      <c r="H2312" s="12"/>
      <c r="I2312" s="13">
        <v>3</v>
      </c>
      <c r="J2312" s="13">
        <v>0</v>
      </c>
      <c r="K2312" s="14" t="str">
        <f>HYPERLINK("http://twitter.com","Twitter Web Client")</f>
        <v>Twitter Web Client</v>
      </c>
      <c r="L2312" s="13">
        <v>8554</v>
      </c>
      <c r="M2312" s="13">
        <v>8379</v>
      </c>
      <c r="N2312" s="13">
        <v>100</v>
      </c>
      <c r="O2312" s="15"/>
      <c r="P2312" s="6">
        <v>39796.733831018515</v>
      </c>
      <c r="Q2312" s="16" t="s">
        <v>1463</v>
      </c>
      <c r="R2312" s="17" t="s">
        <v>7917</v>
      </c>
      <c r="S2312" s="12"/>
      <c r="T2312" s="12"/>
      <c r="U2312" s="10" t="str">
        <f>HYPERLINK("https://pbs.twimg.com/profile_images/720734608359309312/GSI4y0kg.jpg","View")</f>
        <v>View</v>
      </c>
    </row>
    <row r="2313" spans="1:21" ht="30.6">
      <c r="A2313" s="6">
        <v>43436.404409722221</v>
      </c>
      <c r="B2313" s="7" t="str">
        <f>HYPERLINK("https://twitter.com/mmssmms","@mmssmms")</f>
        <v>@mmssmms</v>
      </c>
      <c r="C2313" s="8" t="s">
        <v>7918</v>
      </c>
      <c r="D2313" s="9" t="s">
        <v>7919</v>
      </c>
      <c r="E2313" s="10" t="str">
        <f>HYPERLINK("https://twitter.com/mmssmms/status/1069149758923649024","1069149758923649024")</f>
        <v>1069149758923649024</v>
      </c>
      <c r="F2313" s="11" t="s">
        <v>7920</v>
      </c>
      <c r="G2313" s="12"/>
      <c r="H2313" s="12"/>
      <c r="I2313" s="13">
        <v>0</v>
      </c>
      <c r="J2313" s="13">
        <v>0</v>
      </c>
      <c r="K2313" s="14" t="str">
        <f>HYPERLINK("http://www.facebook.com/twitter","Facebook")</f>
        <v>Facebook</v>
      </c>
      <c r="L2313" s="13">
        <v>103</v>
      </c>
      <c r="M2313" s="13">
        <v>253</v>
      </c>
      <c r="N2313" s="13">
        <v>4</v>
      </c>
      <c r="O2313" s="15"/>
      <c r="P2313" s="6">
        <v>40286.001111111109</v>
      </c>
      <c r="Q2313" s="16" t="s">
        <v>7921</v>
      </c>
      <c r="R2313" s="20"/>
      <c r="S2313" s="12"/>
      <c r="T2313" s="12"/>
      <c r="U2313" s="10" t="str">
        <f>HYPERLINK("https://pbs.twimg.com/profile_images/1611966439/bcd419b85dbb15becd09b96fe4b56a47.jpg","View")</f>
        <v>View</v>
      </c>
    </row>
    <row r="2314" spans="1:21" ht="20.399999999999999">
      <c r="A2314" s="6">
        <v>43436.40351851852</v>
      </c>
      <c r="B2314" s="7" t="str">
        <f>HYPERLINK("https://twitter.com/macorina","@macorina")</f>
        <v>@macorina</v>
      </c>
      <c r="C2314" s="8" t="s">
        <v>7922</v>
      </c>
      <c r="D2314" s="9" t="s">
        <v>7923</v>
      </c>
      <c r="E2314" s="10" t="str">
        <f>HYPERLINK("https://twitter.com/macorina/status/1069149436293627906","1069149436293627906")</f>
        <v>1069149436293627906</v>
      </c>
      <c r="F2314" s="12"/>
      <c r="G2314" s="12"/>
      <c r="H2314" s="12"/>
      <c r="I2314" s="13">
        <v>0</v>
      </c>
      <c r="J2314" s="13">
        <v>24</v>
      </c>
      <c r="K2314" s="14" t="str">
        <f t="shared" ref="K2314:K2315" si="414">HYPERLINK("http://twitter.com/download/android","Twitter for Android")</f>
        <v>Twitter for Android</v>
      </c>
      <c r="L2314" s="13">
        <v>1034</v>
      </c>
      <c r="M2314" s="13">
        <v>474</v>
      </c>
      <c r="N2314" s="13">
        <v>17</v>
      </c>
      <c r="O2314" s="15"/>
      <c r="P2314" s="6">
        <v>39514.769884259258</v>
      </c>
      <c r="Q2314" s="16" t="s">
        <v>7924</v>
      </c>
      <c r="R2314" s="17" t="s">
        <v>7925</v>
      </c>
      <c r="S2314" s="12"/>
      <c r="T2314" s="12"/>
      <c r="U2314" s="10" t="str">
        <f>HYPERLINK("https://pbs.twimg.com/profile_images/1013842152877645829/9xHUSShb.jpg","View")</f>
        <v>View</v>
      </c>
    </row>
    <row r="2315" spans="1:21" ht="40.799999999999997">
      <c r="A2315" s="6">
        <v>43436.403379629628</v>
      </c>
      <c r="B2315" s="7" t="str">
        <f>HYPERLINK("https://twitter.com/LolaypPelota","@LolaypPelota")</f>
        <v>@LolaypPelota</v>
      </c>
      <c r="C2315" s="8" t="s">
        <v>3318</v>
      </c>
      <c r="D2315" s="9" t="s">
        <v>7926</v>
      </c>
      <c r="E2315" s="10" t="str">
        <f>HYPERLINK("https://twitter.com/LolaypPelota/status/1069149389338353664","1069149389338353664")</f>
        <v>1069149389338353664</v>
      </c>
      <c r="F2315" s="12"/>
      <c r="G2315" s="11" t="s">
        <v>7927</v>
      </c>
      <c r="H2315" s="12"/>
      <c r="I2315" s="13">
        <v>2</v>
      </c>
      <c r="J2315" s="13">
        <v>1</v>
      </c>
      <c r="K2315" s="14" t="str">
        <f t="shared" si="414"/>
        <v>Twitter for Android</v>
      </c>
      <c r="L2315" s="13">
        <v>624</v>
      </c>
      <c r="M2315" s="13">
        <v>603</v>
      </c>
      <c r="N2315" s="13">
        <v>7</v>
      </c>
      <c r="O2315" s="15"/>
      <c r="P2315" s="6">
        <v>41852.621030092589</v>
      </c>
      <c r="Q2315" s="12"/>
      <c r="R2315" s="17" t="s">
        <v>3319</v>
      </c>
      <c r="S2315" s="12"/>
      <c r="T2315" s="12"/>
      <c r="U2315" s="10" t="str">
        <f>HYPERLINK("https://pbs.twimg.com/profile_images/603604557642469376/e5wF7xCC.jpg","View")</f>
        <v>View</v>
      </c>
    </row>
    <row r="2316" spans="1:21" ht="40.799999999999997">
      <c r="A2316" s="6">
        <v>43436.396620370375</v>
      </c>
      <c r="B2316" s="7" t="str">
        <f>HYPERLINK("https://twitter.com/AbeInfanzon","@AbeInfanzon")</f>
        <v>@AbeInfanzon</v>
      </c>
      <c r="C2316" s="8" t="s">
        <v>7928</v>
      </c>
      <c r="D2316" s="9" t="s">
        <v>7929</v>
      </c>
      <c r="E2316" s="10" t="str">
        <f>HYPERLINK("https://twitter.com/AbeInfanzon/status/1069146936568107009","1069146936568107009")</f>
        <v>1069146936568107009</v>
      </c>
      <c r="F2316" s="11" t="s">
        <v>7930</v>
      </c>
      <c r="G2316" s="11" t="s">
        <v>7931</v>
      </c>
      <c r="H2316" s="12"/>
      <c r="I2316" s="13">
        <v>15</v>
      </c>
      <c r="J2316" s="13">
        <v>17</v>
      </c>
      <c r="K2316" s="14" t="str">
        <f t="shared" ref="K2316:K2319" si="415">HYPERLINK("http://twitter.com","Twitter Web Client")</f>
        <v>Twitter Web Client</v>
      </c>
      <c r="L2316" s="13">
        <v>53356</v>
      </c>
      <c r="M2316" s="13">
        <v>421</v>
      </c>
      <c r="N2316" s="13">
        <v>672</v>
      </c>
      <c r="O2316" s="15"/>
      <c r="P2316" s="6">
        <v>41346.959756944445</v>
      </c>
      <c r="Q2316" s="16" t="s">
        <v>7932</v>
      </c>
      <c r="R2316" s="17" t="s">
        <v>7933</v>
      </c>
      <c r="S2316" s="11" t="s">
        <v>7934</v>
      </c>
      <c r="T2316" s="12"/>
      <c r="U2316" s="10" t="str">
        <f>HYPERLINK("https://pbs.twimg.com/profile_images/592671054352486401/95LLqjAY.jpg","View")</f>
        <v>View</v>
      </c>
    </row>
    <row r="2317" spans="1:21" ht="20.399999999999999">
      <c r="A2317" s="6">
        <v>43436.395844907413</v>
      </c>
      <c r="B2317" s="7" t="str">
        <f>HYPERLINK("https://twitter.com/Eugenio63098874","@Eugenio63098874")</f>
        <v>@Eugenio63098874</v>
      </c>
      <c r="C2317" s="8" t="s">
        <v>2535</v>
      </c>
      <c r="D2317" s="9" t="s">
        <v>7694</v>
      </c>
      <c r="E2317" s="10" t="str">
        <f>HYPERLINK("https://twitter.com/Eugenio63098874/status/1069146655243550720","1069146655243550720")</f>
        <v>1069146655243550720</v>
      </c>
      <c r="F2317" s="11" t="s">
        <v>7100</v>
      </c>
      <c r="G2317" s="12"/>
      <c r="H2317" s="12"/>
      <c r="I2317" s="13">
        <v>0</v>
      </c>
      <c r="J2317" s="13">
        <v>0</v>
      </c>
      <c r="K2317" s="14" t="str">
        <f t="shared" si="415"/>
        <v>Twitter Web Client</v>
      </c>
      <c r="L2317" s="13">
        <v>26</v>
      </c>
      <c r="M2317" s="13">
        <v>322</v>
      </c>
      <c r="N2317" s="13">
        <v>0</v>
      </c>
      <c r="O2317" s="15"/>
      <c r="P2317" s="6">
        <v>43189.665138888886</v>
      </c>
      <c r="Q2317" s="12"/>
      <c r="R2317" s="20"/>
      <c r="S2317" s="12"/>
      <c r="T2317" s="12"/>
      <c r="U2317" s="10" t="str">
        <f>HYPERLINK("https://pbs.twimg.com/profile_images/1044637518631710720/L1M74q26.jpg","View")</f>
        <v>View</v>
      </c>
    </row>
    <row r="2318" spans="1:21" ht="20.399999999999999">
      <c r="A2318" s="6">
        <v>43436.395648148144</v>
      </c>
      <c r="B2318" s="7" t="str">
        <f>HYPERLINK("https://twitter.com/vdiazm1_diaz","@vdiazm1_diaz")</f>
        <v>@vdiazm1_diaz</v>
      </c>
      <c r="C2318" s="8" t="s">
        <v>766</v>
      </c>
      <c r="D2318" s="9" t="s">
        <v>7694</v>
      </c>
      <c r="E2318" s="10" t="str">
        <f>HYPERLINK("https://twitter.com/vdiazm1_diaz/status/1069146587342012416","1069146587342012416")</f>
        <v>1069146587342012416</v>
      </c>
      <c r="F2318" s="11" t="s">
        <v>7100</v>
      </c>
      <c r="G2318" s="12"/>
      <c r="H2318" s="12"/>
      <c r="I2318" s="13">
        <v>0</v>
      </c>
      <c r="J2318" s="13">
        <v>0</v>
      </c>
      <c r="K2318" s="14" t="str">
        <f t="shared" si="415"/>
        <v>Twitter Web Client</v>
      </c>
      <c r="L2318" s="13">
        <v>248</v>
      </c>
      <c r="M2318" s="13">
        <v>749</v>
      </c>
      <c r="N2318" s="13">
        <v>4</v>
      </c>
      <c r="O2318" s="15"/>
      <c r="P2318" s="6">
        <v>41249.679791666669</v>
      </c>
      <c r="Q2318" s="16" t="s">
        <v>229</v>
      </c>
      <c r="R2318" s="20"/>
      <c r="S2318" s="12"/>
      <c r="T2318" s="12"/>
      <c r="U2318" s="10" t="str">
        <f>HYPERLINK("https://pbs.twimg.com/profile_images/3064758577/4c08a7e2ae9b38632be10321609a9233.jpeg","View")</f>
        <v>View</v>
      </c>
    </row>
    <row r="2319" spans="1:21" ht="30.6">
      <c r="A2319" s="6">
        <v>43436.390127314815</v>
      </c>
      <c r="B2319" s="7" t="str">
        <f>HYPERLINK("https://twitter.com/AguasNeutrales","@AguasNeutrales")</f>
        <v>@AguasNeutrales</v>
      </c>
      <c r="C2319" s="8" t="s">
        <v>2862</v>
      </c>
      <c r="D2319" s="9" t="s">
        <v>7935</v>
      </c>
      <c r="E2319" s="10" t="str">
        <f>HYPERLINK("https://twitter.com/AguasNeutrales/status/1069144584310202368","1069144584310202368")</f>
        <v>1069144584310202368</v>
      </c>
      <c r="F2319" s="11" t="s">
        <v>7936</v>
      </c>
      <c r="G2319" s="11" t="s">
        <v>7937</v>
      </c>
      <c r="H2319" s="12"/>
      <c r="I2319" s="13">
        <v>0</v>
      </c>
      <c r="J2319" s="13">
        <v>0</v>
      </c>
      <c r="K2319" s="14" t="str">
        <f t="shared" si="415"/>
        <v>Twitter Web Client</v>
      </c>
      <c r="L2319" s="13">
        <v>928</v>
      </c>
      <c r="M2319" s="13">
        <v>1614</v>
      </c>
      <c r="N2319" s="13">
        <v>7</v>
      </c>
      <c r="O2319" s="15"/>
      <c r="P2319" s="6">
        <v>41802.302615740744</v>
      </c>
      <c r="Q2319" s="12"/>
      <c r="R2319" s="17" t="s">
        <v>2866</v>
      </c>
      <c r="S2319" s="12"/>
      <c r="T2319" s="12"/>
      <c r="U2319" s="10" t="str">
        <f>HYPERLINK("https://pbs.twimg.com/profile_images/1008462024282689536/Q3Z1dTgf.jpg","View")</f>
        <v>View</v>
      </c>
    </row>
    <row r="2320" spans="1:21" ht="71.400000000000006">
      <c r="A2320" s="6">
        <v>43436.388680555552</v>
      </c>
      <c r="B2320" s="7" t="str">
        <f>HYPERLINK("https://twitter.com/protestona1","@protestona1")</f>
        <v>@protestona1</v>
      </c>
      <c r="C2320" s="8" t="s">
        <v>732</v>
      </c>
      <c r="D2320" s="9" t="s">
        <v>7938</v>
      </c>
      <c r="E2320" s="10" t="str">
        <f>HYPERLINK("https://twitter.com/protestona1/status/1069144061909573632","1069144061909573632")</f>
        <v>1069144061909573632</v>
      </c>
      <c r="F2320" s="16" t="s">
        <v>5546</v>
      </c>
      <c r="G2320" s="12"/>
      <c r="H2320" s="12"/>
      <c r="I2320" s="13">
        <v>85</v>
      </c>
      <c r="J2320" s="13">
        <v>164</v>
      </c>
      <c r="K2320" s="14" t="str">
        <f>HYPERLINK("http://twitter.com/download/iphone","Twitter for iPhone")</f>
        <v>Twitter for iPhone</v>
      </c>
      <c r="L2320" s="13">
        <v>151624</v>
      </c>
      <c r="M2320" s="13">
        <v>2214</v>
      </c>
      <c r="N2320" s="13">
        <v>812</v>
      </c>
      <c r="O2320" s="15"/>
      <c r="P2320" s="6">
        <v>41352.82136574074</v>
      </c>
      <c r="Q2320" s="16" t="s">
        <v>735</v>
      </c>
      <c r="R2320" s="17" t="s">
        <v>736</v>
      </c>
      <c r="S2320" s="11" t="s">
        <v>737</v>
      </c>
      <c r="T2320" s="12"/>
      <c r="U2320" s="10" t="str">
        <f>HYPERLINK("https://pbs.twimg.com/profile_images/1067148427048423431/NQxeU_SX.jpg","View")</f>
        <v>View</v>
      </c>
    </row>
    <row r="2321" spans="1:21" ht="20.399999999999999">
      <c r="A2321" s="6">
        <v>43436.385567129633</v>
      </c>
      <c r="B2321" s="7" t="str">
        <f>HYPERLINK("https://twitter.com/mcmjrch","@mcmjrch")</f>
        <v>@mcmjrch</v>
      </c>
      <c r="C2321" s="8" t="s">
        <v>7939</v>
      </c>
      <c r="D2321" s="9" t="s">
        <v>4581</v>
      </c>
      <c r="E2321" s="10" t="str">
        <f>HYPERLINK("https://twitter.com/mcmjrch/status/1069142933717291008","1069142933717291008")</f>
        <v>1069142933717291008</v>
      </c>
      <c r="F2321" s="11" t="s">
        <v>7940</v>
      </c>
      <c r="G2321" s="12"/>
      <c r="H2321" s="12"/>
      <c r="I2321" s="13">
        <v>0</v>
      </c>
      <c r="J2321" s="13">
        <v>0</v>
      </c>
      <c r="K2321" s="14" t="str">
        <f>HYPERLINK("http://twitter.com/download/android","Twitter for Android")</f>
        <v>Twitter for Android</v>
      </c>
      <c r="L2321" s="13">
        <v>27</v>
      </c>
      <c r="M2321" s="13">
        <v>131</v>
      </c>
      <c r="N2321" s="13">
        <v>0</v>
      </c>
      <c r="O2321" s="15"/>
      <c r="P2321" s="6">
        <v>40604.554120370369</v>
      </c>
      <c r="Q2321" s="12"/>
      <c r="R2321" s="17" t="s">
        <v>7941</v>
      </c>
      <c r="S2321" s="12"/>
      <c r="T2321" s="12"/>
      <c r="U2321" s="10" t="str">
        <f>HYPERLINK("https://pbs.twimg.com/profile_images/3299109282/9eb49e85758c020110d226497af30e96.jpeg","View")</f>
        <v>View</v>
      </c>
    </row>
    <row r="2322" spans="1:21" ht="30.6">
      <c r="A2322" s="6">
        <v>43436.379594907412</v>
      </c>
      <c r="B2322" s="7" t="str">
        <f>HYPERLINK("https://twitter.com/Mikytoytoy","@Mikytoytoy")</f>
        <v>@Mikytoytoy</v>
      </c>
      <c r="C2322" s="8" t="s">
        <v>7942</v>
      </c>
      <c r="D2322" s="9" t="s">
        <v>7943</v>
      </c>
      <c r="E2322" s="10" t="str">
        <f>HYPERLINK("https://twitter.com/Mikytoytoy/status/1069140769188007936","1069140769188007936")</f>
        <v>1069140769188007936</v>
      </c>
      <c r="F2322" s="11" t="s">
        <v>7944</v>
      </c>
      <c r="G2322" s="12"/>
      <c r="H2322" s="12"/>
      <c r="I2322" s="13">
        <v>0</v>
      </c>
      <c r="J2322" s="13">
        <v>0</v>
      </c>
      <c r="K2322" s="14" t="str">
        <f>HYPERLINK("http://www.facebook.com/twitter","Facebook")</f>
        <v>Facebook</v>
      </c>
      <c r="L2322" s="13">
        <v>224</v>
      </c>
      <c r="M2322" s="13">
        <v>593</v>
      </c>
      <c r="N2322" s="13">
        <v>10</v>
      </c>
      <c r="O2322" s="15"/>
      <c r="P2322" s="6">
        <v>40188.553842592592</v>
      </c>
      <c r="Q2322" s="16" t="s">
        <v>7945</v>
      </c>
      <c r="R2322" s="17" t="s">
        <v>7946</v>
      </c>
      <c r="S2322" s="11" t="s">
        <v>7947</v>
      </c>
      <c r="T2322" s="12"/>
      <c r="U2322" s="10" t="str">
        <f>HYPERLINK("https://pbs.twimg.com/profile_images/1069121889782636544/tIqOTAmE.jpg","View")</f>
        <v>View</v>
      </c>
    </row>
    <row r="2323" spans="1:21" ht="20.399999999999999">
      <c r="A2323" s="6">
        <v>43436.375150462962</v>
      </c>
      <c r="B2323" s="7" t="str">
        <f>HYPERLINK("https://twitter.com/teodelacalle","@teodelacalle")</f>
        <v>@teodelacalle</v>
      </c>
      <c r="C2323" s="8" t="s">
        <v>3135</v>
      </c>
      <c r="D2323" s="9" t="s">
        <v>7948</v>
      </c>
      <c r="E2323" s="10" t="str">
        <f>HYPERLINK("https://twitter.com/teodelacalle/status/1069139156146810880","1069139156146810880")</f>
        <v>1069139156146810880</v>
      </c>
      <c r="F2323" s="11" t="s">
        <v>4962</v>
      </c>
      <c r="G2323" s="12"/>
      <c r="H2323" s="12"/>
      <c r="I2323" s="13">
        <v>0</v>
      </c>
      <c r="J2323" s="13">
        <v>0</v>
      </c>
      <c r="K2323" s="14" t="str">
        <f>HYPERLINK("https://www.hootsuite.com","Hootsuite Inc.")</f>
        <v>Hootsuite Inc.</v>
      </c>
      <c r="L2323" s="13">
        <v>851</v>
      </c>
      <c r="M2323" s="13">
        <v>1652</v>
      </c>
      <c r="N2323" s="13">
        <v>15</v>
      </c>
      <c r="O2323" s="15"/>
      <c r="P2323" s="6">
        <v>40881.670891203699</v>
      </c>
      <c r="Q2323" s="16" t="s">
        <v>3138</v>
      </c>
      <c r="R2323" s="17" t="s">
        <v>3139</v>
      </c>
      <c r="S2323" s="12"/>
      <c r="T2323" s="12"/>
      <c r="U2323" s="10" t="str">
        <f>HYPERLINK("https://pbs.twimg.com/profile_images/481666283574804480/HvmXs-xd.jpeg","View")</f>
        <v>View</v>
      </c>
    </row>
    <row r="2324" spans="1:21" ht="13.2">
      <c r="A2324" s="6">
        <v>43436.372534722221</v>
      </c>
      <c r="B2324" s="7" t="str">
        <f>HYPERLINK("https://twitter.com/cansadoya","@cansadoya")</f>
        <v>@cansadoya</v>
      </c>
      <c r="C2324" s="8" t="s">
        <v>7949</v>
      </c>
      <c r="D2324" s="9" t="s">
        <v>7950</v>
      </c>
      <c r="E2324" s="10" t="str">
        <f>HYPERLINK("https://twitter.com/cansadoya/status/1069138208309608449","1069138208309608449")</f>
        <v>1069138208309608449</v>
      </c>
      <c r="F2324" s="12"/>
      <c r="G2324" s="11" t="s">
        <v>7951</v>
      </c>
      <c r="H2324" s="12"/>
      <c r="I2324" s="13">
        <v>0</v>
      </c>
      <c r="J2324" s="13">
        <v>0</v>
      </c>
      <c r="K2324" s="14" t="str">
        <f>HYPERLINK("http://twitter.com/download/iphone","Twitter for iPhone")</f>
        <v>Twitter for iPhone</v>
      </c>
      <c r="L2324" s="13">
        <v>872</v>
      </c>
      <c r="M2324" s="13">
        <v>1875</v>
      </c>
      <c r="N2324" s="13">
        <v>11</v>
      </c>
      <c r="O2324" s="15"/>
      <c r="P2324" s="6">
        <v>40676.834768518514</v>
      </c>
      <c r="Q2324" s="16" t="s">
        <v>715</v>
      </c>
      <c r="R2324" s="17" t="s">
        <v>7952</v>
      </c>
      <c r="S2324" s="12"/>
      <c r="T2324" s="12"/>
      <c r="U2324" s="10" t="str">
        <f>HYPERLINK("https://pbs.twimg.com/profile_images/680330336362991616/E_oWC7lr.jpg","View")</f>
        <v>View</v>
      </c>
    </row>
    <row r="2325" spans="1:21" ht="40.799999999999997">
      <c r="A2325" s="6">
        <v>43436.370046296295</v>
      </c>
      <c r="B2325" s="7" t="str">
        <f>HYPERLINK("https://twitter.com/c072075","@c072075")</f>
        <v>@c072075</v>
      </c>
      <c r="C2325" s="8" t="s">
        <v>7953</v>
      </c>
      <c r="D2325" s="9" t="s">
        <v>7954</v>
      </c>
      <c r="E2325" s="10" t="str">
        <f>HYPERLINK("https://twitter.com/c072075/status/1069137308178415617","1069137308178415617")</f>
        <v>1069137308178415617</v>
      </c>
      <c r="F2325" s="12"/>
      <c r="G2325" s="12"/>
      <c r="H2325" s="12"/>
      <c r="I2325" s="13">
        <v>0</v>
      </c>
      <c r="J2325" s="13">
        <v>0</v>
      </c>
      <c r="K2325" s="14" t="str">
        <f>HYPERLINK("http://twitter.com/#!/download/ipad","Twitter for iPad")</f>
        <v>Twitter for iPad</v>
      </c>
      <c r="L2325" s="13">
        <v>283</v>
      </c>
      <c r="M2325" s="13">
        <v>443</v>
      </c>
      <c r="N2325" s="13">
        <v>8</v>
      </c>
      <c r="O2325" s="15"/>
      <c r="P2325" s="6">
        <v>40013.601041666669</v>
      </c>
      <c r="Q2325" s="16" t="s">
        <v>7955</v>
      </c>
      <c r="R2325" s="17" t="s">
        <v>7956</v>
      </c>
      <c r="S2325" s="12"/>
      <c r="T2325" s="12"/>
      <c r="U2325" s="10" t="str">
        <f>HYPERLINK("https://pbs.twimg.com/profile_images/584356504297418752/TUKQsrmG.jpg","View")</f>
        <v>View</v>
      </c>
    </row>
    <row r="2326" spans="1:21" ht="20.399999999999999">
      <c r="A2326" s="6">
        <v>43436.359791666662</v>
      </c>
      <c r="B2326" s="7" t="str">
        <f>HYPERLINK("https://twitter.com/rokoten","@rokoten")</f>
        <v>@rokoten</v>
      </c>
      <c r="C2326" s="8" t="s">
        <v>5288</v>
      </c>
      <c r="D2326" s="9" t="s">
        <v>7957</v>
      </c>
      <c r="E2326" s="10" t="str">
        <f>HYPERLINK("https://twitter.com/rokoten/status/1069133593774051328","1069133593774051328")</f>
        <v>1069133593774051328</v>
      </c>
      <c r="F2326" s="11" t="s">
        <v>7756</v>
      </c>
      <c r="G2326" s="12"/>
      <c r="H2326" s="12"/>
      <c r="I2326" s="13">
        <v>0</v>
      </c>
      <c r="J2326" s="13">
        <v>0</v>
      </c>
      <c r="K2326" s="14" t="str">
        <f>HYPERLINK("http://twitter.com/download/iphone","Twitter for iPhone")</f>
        <v>Twitter for iPhone</v>
      </c>
      <c r="L2326" s="13">
        <v>20882</v>
      </c>
      <c r="M2326" s="13">
        <v>21104</v>
      </c>
      <c r="N2326" s="13">
        <v>33</v>
      </c>
      <c r="O2326" s="15"/>
      <c r="P2326" s="6">
        <v>40803.436655092592</v>
      </c>
      <c r="Q2326" s="12"/>
      <c r="R2326" s="17" t="s">
        <v>5290</v>
      </c>
      <c r="S2326" s="12"/>
      <c r="T2326" s="12"/>
      <c r="U2326" s="10" t="str">
        <f>HYPERLINK("https://pbs.twimg.com/profile_images/595104891590279168/-_3anmkq.jpg","View")</f>
        <v>View</v>
      </c>
    </row>
    <row r="2327" spans="1:21" ht="40.799999999999997">
      <c r="A2327" s="6">
        <v>43436.34856481482</v>
      </c>
      <c r="B2327" s="7" t="str">
        <f>HYPERLINK("https://twitter.com/AbeInfanzon","@AbeInfanzon")</f>
        <v>@AbeInfanzon</v>
      </c>
      <c r="C2327" s="8" t="s">
        <v>7928</v>
      </c>
      <c r="D2327" s="9" t="s">
        <v>7958</v>
      </c>
      <c r="E2327" s="10" t="str">
        <f>HYPERLINK("https://twitter.com/AbeInfanzon/status/1069129521759207424","1069129521759207424")</f>
        <v>1069129521759207424</v>
      </c>
      <c r="F2327" s="11" t="s">
        <v>7701</v>
      </c>
      <c r="G2327" s="11" t="s">
        <v>7959</v>
      </c>
      <c r="H2327" s="12"/>
      <c r="I2327" s="13">
        <v>11</v>
      </c>
      <c r="J2327" s="13">
        <v>13</v>
      </c>
      <c r="K2327" s="14" t="str">
        <f t="shared" ref="K2327:K2333" si="416">HYPERLINK("http://twitter.com","Twitter Web Client")</f>
        <v>Twitter Web Client</v>
      </c>
      <c r="L2327" s="13">
        <v>53356</v>
      </c>
      <c r="M2327" s="13">
        <v>421</v>
      </c>
      <c r="N2327" s="13">
        <v>672</v>
      </c>
      <c r="O2327" s="15"/>
      <c r="P2327" s="6">
        <v>41346.959756944445</v>
      </c>
      <c r="Q2327" s="16" t="s">
        <v>7932</v>
      </c>
      <c r="R2327" s="17" t="s">
        <v>7933</v>
      </c>
      <c r="S2327" s="11" t="s">
        <v>7934</v>
      </c>
      <c r="T2327" s="12"/>
      <c r="U2327" s="10" t="str">
        <f>HYPERLINK("https://pbs.twimg.com/profile_images/592671054352486401/95LLqjAY.jpg","View")</f>
        <v>View</v>
      </c>
    </row>
    <row r="2328" spans="1:21" ht="20.399999999999999">
      <c r="A2328" s="6">
        <v>43436.343854166669</v>
      </c>
      <c r="B2328" s="7" t="str">
        <f>HYPERLINK("https://twitter.com/AmgelLlamas","@AmgelLlamas")</f>
        <v>@AmgelLlamas</v>
      </c>
      <c r="C2328" s="8" t="s">
        <v>3741</v>
      </c>
      <c r="D2328" s="9" t="s">
        <v>7099</v>
      </c>
      <c r="E2328" s="10" t="str">
        <f>HYPERLINK("https://twitter.com/AmgelLlamas/status/1069127815155589121","1069127815155589121")</f>
        <v>1069127815155589121</v>
      </c>
      <c r="F2328" s="11" t="s">
        <v>7100</v>
      </c>
      <c r="G2328" s="12"/>
      <c r="H2328" s="12"/>
      <c r="I2328" s="13">
        <v>0</v>
      </c>
      <c r="J2328" s="13">
        <v>1</v>
      </c>
      <c r="K2328" s="14" t="str">
        <f t="shared" si="416"/>
        <v>Twitter Web Client</v>
      </c>
      <c r="L2328" s="13">
        <v>82</v>
      </c>
      <c r="M2328" s="13">
        <v>624</v>
      </c>
      <c r="N2328" s="13">
        <v>0</v>
      </c>
      <c r="O2328" s="15"/>
      <c r="P2328" s="6">
        <v>43352.556354166663</v>
      </c>
      <c r="Q2328" s="16" t="s">
        <v>3742</v>
      </c>
      <c r="R2328" s="17" t="s">
        <v>3743</v>
      </c>
      <c r="S2328" s="12"/>
      <c r="T2328" s="12"/>
      <c r="U2328" s="10" t="str">
        <f>HYPERLINK("https://pbs.twimg.com/profile_images/1038758318095917056/VU2D6qHS.jpg","View")</f>
        <v>View</v>
      </c>
    </row>
    <row r="2329" spans="1:21" ht="20.399999999999999">
      <c r="A2329" s="6">
        <v>43436.341412037036</v>
      </c>
      <c r="B2329" s="7" t="str">
        <f>HYPERLINK("https://twitter.com/PepeMar23446978","@PepeMar23446978")</f>
        <v>@PepeMar23446978</v>
      </c>
      <c r="C2329" s="8" t="s">
        <v>7960</v>
      </c>
      <c r="D2329" s="9" t="s">
        <v>7961</v>
      </c>
      <c r="E2329" s="10" t="str">
        <f>HYPERLINK("https://twitter.com/PepeMar23446978/status/1069126930627289088","1069126930627289088")</f>
        <v>1069126930627289088</v>
      </c>
      <c r="F2329" s="11" t="s">
        <v>7962</v>
      </c>
      <c r="G2329" s="12"/>
      <c r="H2329" s="12"/>
      <c r="I2329" s="13">
        <v>0</v>
      </c>
      <c r="J2329" s="13">
        <v>0</v>
      </c>
      <c r="K2329" s="14" t="str">
        <f t="shared" si="416"/>
        <v>Twitter Web Client</v>
      </c>
      <c r="L2329" s="13">
        <v>1097</v>
      </c>
      <c r="M2329" s="13">
        <v>1652</v>
      </c>
      <c r="N2329" s="13">
        <v>14</v>
      </c>
      <c r="O2329" s="15"/>
      <c r="P2329" s="6">
        <v>40987.685393518521</v>
      </c>
      <c r="Q2329" s="16" t="s">
        <v>191</v>
      </c>
      <c r="R2329" s="17" t="s">
        <v>7963</v>
      </c>
      <c r="S2329" s="12"/>
      <c r="T2329" s="12"/>
      <c r="U2329" s="10" t="str">
        <f>HYPERLINK("https://pbs.twimg.com/profile_images/2184245477/imagesCAP1CLX1.jpg","View")</f>
        <v>View</v>
      </c>
    </row>
    <row r="2330" spans="1:21" ht="40.799999999999997">
      <c r="A2330" s="6">
        <v>43436.331180555557</v>
      </c>
      <c r="B2330" s="7" t="str">
        <f>HYPERLINK("https://twitter.com/racle7","@racle7")</f>
        <v>@racle7</v>
      </c>
      <c r="C2330" s="8" t="s">
        <v>7964</v>
      </c>
      <c r="D2330" s="9" t="s">
        <v>7592</v>
      </c>
      <c r="E2330" s="10" t="str">
        <f>HYPERLINK("https://twitter.com/racle7/status/1069123222451441664","1069123222451441664")</f>
        <v>1069123222451441664</v>
      </c>
      <c r="F2330" s="11" t="s">
        <v>7965</v>
      </c>
      <c r="G2330" s="12"/>
      <c r="H2330" s="12"/>
      <c r="I2330" s="13">
        <v>0</v>
      </c>
      <c r="J2330" s="13">
        <v>0</v>
      </c>
      <c r="K2330" s="14" t="str">
        <f t="shared" si="416"/>
        <v>Twitter Web Client</v>
      </c>
      <c r="L2330" s="13">
        <v>2717</v>
      </c>
      <c r="M2330" s="13">
        <v>2769</v>
      </c>
      <c r="N2330" s="13">
        <v>51</v>
      </c>
      <c r="O2330" s="15"/>
      <c r="P2330" s="6">
        <v>40457.914456018516</v>
      </c>
      <c r="Q2330" s="12"/>
      <c r="R2330" s="17" t="s">
        <v>7966</v>
      </c>
      <c r="S2330" s="12"/>
      <c r="T2330" s="12"/>
      <c r="U2330" s="10" t="str">
        <f>HYPERLINK("https://pbs.twimg.com/profile_images/2103468825/1498.gif","View")</f>
        <v>View</v>
      </c>
    </row>
    <row r="2331" spans="1:21" ht="20.399999999999999">
      <c r="A2331" s="6">
        <v>43436.322013888886</v>
      </c>
      <c r="B2331" s="7" t="str">
        <f>HYPERLINK("https://twitter.com/Belda1954","@Belda1954")</f>
        <v>@Belda1954</v>
      </c>
      <c r="C2331" s="8" t="s">
        <v>3218</v>
      </c>
      <c r="D2331" s="9" t="s">
        <v>7694</v>
      </c>
      <c r="E2331" s="10" t="str">
        <f>HYPERLINK("https://twitter.com/Belda1954/status/1069119899870642176","1069119899870642176")</f>
        <v>1069119899870642176</v>
      </c>
      <c r="F2331" s="11" t="s">
        <v>7100</v>
      </c>
      <c r="G2331" s="12"/>
      <c r="H2331" s="12"/>
      <c r="I2331" s="13">
        <v>0</v>
      </c>
      <c r="J2331" s="13">
        <v>0</v>
      </c>
      <c r="K2331" s="14" t="str">
        <f t="shared" si="416"/>
        <v>Twitter Web Client</v>
      </c>
      <c r="L2331" s="13">
        <v>340</v>
      </c>
      <c r="M2331" s="13">
        <v>1035</v>
      </c>
      <c r="N2331" s="13">
        <v>7</v>
      </c>
      <c r="O2331" s="15"/>
      <c r="P2331" s="6">
        <v>40445.780740740738</v>
      </c>
      <c r="Q2331" s="16" t="s">
        <v>48</v>
      </c>
      <c r="R2331" s="17" t="s">
        <v>3219</v>
      </c>
      <c r="S2331" s="12"/>
      <c r="T2331" s="12"/>
      <c r="U2331" s="10" t="str">
        <f>HYPERLINK("https://pbs.twimg.com/profile_images/760042410126737408/0vT_CbAN.jpg","View")</f>
        <v>View</v>
      </c>
    </row>
    <row r="2332" spans="1:21" ht="30.6">
      <c r="A2332" s="6">
        <v>43436.319525462968</v>
      </c>
      <c r="B2332" s="7" t="str">
        <f>HYPERLINK("https://twitter.com/AguasNeutrales","@AguasNeutrales")</f>
        <v>@AguasNeutrales</v>
      </c>
      <c r="C2332" s="8" t="s">
        <v>2862</v>
      </c>
      <c r="D2332" s="9" t="s">
        <v>7967</v>
      </c>
      <c r="E2332" s="10" t="str">
        <f>HYPERLINK("https://twitter.com/AguasNeutrales/status/1069118998749605888","1069118998749605888")</f>
        <v>1069118998749605888</v>
      </c>
      <c r="F2332" s="11" t="s">
        <v>7968</v>
      </c>
      <c r="G2332" s="11" t="s">
        <v>7969</v>
      </c>
      <c r="H2332" s="12"/>
      <c r="I2332" s="13">
        <v>0</v>
      </c>
      <c r="J2332" s="13">
        <v>0</v>
      </c>
      <c r="K2332" s="14" t="str">
        <f t="shared" si="416"/>
        <v>Twitter Web Client</v>
      </c>
      <c r="L2332" s="13">
        <v>928</v>
      </c>
      <c r="M2332" s="13">
        <v>1614</v>
      </c>
      <c r="N2332" s="13">
        <v>7</v>
      </c>
      <c r="O2332" s="15"/>
      <c r="P2332" s="6">
        <v>41802.302615740744</v>
      </c>
      <c r="Q2332" s="12"/>
      <c r="R2332" s="17" t="s">
        <v>2866</v>
      </c>
      <c r="S2332" s="12"/>
      <c r="T2332" s="12"/>
      <c r="U2332" s="10" t="str">
        <f>HYPERLINK("https://pbs.twimg.com/profile_images/1008462024282689536/Q3Z1dTgf.jpg","View")</f>
        <v>View</v>
      </c>
    </row>
    <row r="2333" spans="1:21" ht="30.6">
      <c r="A2333" s="6">
        <v>43436.318437499998</v>
      </c>
      <c r="B2333" s="7" t="str">
        <f>HYPERLINK("https://twitter.com/desdelagiralda","@desdelagiralda")</f>
        <v>@desdelagiralda</v>
      </c>
      <c r="C2333" s="8" t="s">
        <v>7970</v>
      </c>
      <c r="D2333" s="9" t="s">
        <v>7708</v>
      </c>
      <c r="E2333" s="10" t="str">
        <f>HYPERLINK("https://twitter.com/desdelagiralda/status/1069118607098085376","1069118607098085376")</f>
        <v>1069118607098085376</v>
      </c>
      <c r="F2333" s="11" t="s">
        <v>7701</v>
      </c>
      <c r="G2333" s="12"/>
      <c r="H2333" s="12"/>
      <c r="I2333" s="13">
        <v>3</v>
      </c>
      <c r="J2333" s="13">
        <v>1</v>
      </c>
      <c r="K2333" s="14" t="str">
        <f t="shared" si="416"/>
        <v>Twitter Web Client</v>
      </c>
      <c r="L2333" s="13">
        <v>739</v>
      </c>
      <c r="M2333" s="13">
        <v>346</v>
      </c>
      <c r="N2333" s="13">
        <v>19</v>
      </c>
      <c r="O2333" s="15"/>
      <c r="P2333" s="6">
        <v>40849.792164351849</v>
      </c>
      <c r="Q2333" s="16" t="s">
        <v>611</v>
      </c>
      <c r="R2333" s="17" t="s">
        <v>7971</v>
      </c>
      <c r="S2333" s="11" t="s">
        <v>7972</v>
      </c>
      <c r="T2333" s="12"/>
      <c r="U2333" s="10" t="str">
        <f>HYPERLINK("https://pbs.twimg.com/profile_images/514832507854794752/igcCuO6W.jpeg","View")</f>
        <v>View</v>
      </c>
    </row>
    <row r="2334" spans="1:21" ht="30.6">
      <c r="A2334" s="6">
        <v>43436.293287037042</v>
      </c>
      <c r="B2334" s="7" t="str">
        <f>HYPERLINK("https://twitter.com/g_palmira","@g_palmira")</f>
        <v>@g_palmira</v>
      </c>
      <c r="C2334" s="8" t="s">
        <v>2598</v>
      </c>
      <c r="D2334" s="9" t="s">
        <v>7694</v>
      </c>
      <c r="E2334" s="10" t="str">
        <f>HYPERLINK("https://twitter.com/g_palmira/status/1069109491864612864","1069109491864612864")</f>
        <v>1069109491864612864</v>
      </c>
      <c r="F2334" s="11" t="s">
        <v>7100</v>
      </c>
      <c r="G2334" s="12"/>
      <c r="H2334" s="12"/>
      <c r="I2334" s="13">
        <v>0</v>
      </c>
      <c r="J2334" s="13">
        <v>0</v>
      </c>
      <c r="K2334" s="14" t="str">
        <f>HYPERLINK("http://twitter.com/#!/download/ipad","Twitter for iPad")</f>
        <v>Twitter for iPad</v>
      </c>
      <c r="L2334" s="13">
        <v>1460</v>
      </c>
      <c r="M2334" s="13">
        <v>1448</v>
      </c>
      <c r="N2334" s="13">
        <v>0</v>
      </c>
      <c r="O2334" s="15"/>
      <c r="P2334" s="6">
        <v>41005.74019675926</v>
      </c>
      <c r="Q2334" s="12"/>
      <c r="R2334" s="17" t="s">
        <v>2599</v>
      </c>
      <c r="S2334" s="12"/>
      <c r="T2334" s="12"/>
      <c r="U2334" s="10" t="str">
        <f>HYPERLINK("https://pbs.twimg.com/profile_images/1057639071927885824/O5EfhEom.jpg","View")</f>
        <v>View</v>
      </c>
    </row>
    <row r="2335" spans="1:21" ht="30.6">
      <c r="A2335" s="6">
        <v>43436.279351851852</v>
      </c>
      <c r="B2335" s="7" t="str">
        <f>HYPERLINK("https://twitter.com/mateu_toni","@mateu_toni")</f>
        <v>@mateu_toni</v>
      </c>
      <c r="C2335" s="8" t="s">
        <v>7973</v>
      </c>
      <c r="D2335" s="9" t="s">
        <v>4669</v>
      </c>
      <c r="E2335" s="10" t="str">
        <f>HYPERLINK("https://twitter.com/mateu_toni/status/1069104439485759488","1069104439485759488")</f>
        <v>1069104439485759488</v>
      </c>
      <c r="F2335" s="11" t="s">
        <v>4428</v>
      </c>
      <c r="G2335" s="12"/>
      <c r="H2335" s="12"/>
      <c r="I2335" s="13">
        <v>0</v>
      </c>
      <c r="J2335" s="13">
        <v>0</v>
      </c>
      <c r="K2335" s="14" t="str">
        <f>HYPERLINK("http://www.facebook.com/twitter","Facebook")</f>
        <v>Facebook</v>
      </c>
      <c r="L2335" s="13">
        <v>564</v>
      </c>
      <c r="M2335" s="13">
        <v>1285</v>
      </c>
      <c r="N2335" s="13">
        <v>0</v>
      </c>
      <c r="O2335" s="15"/>
      <c r="P2335" s="6">
        <v>42805.493113425924</v>
      </c>
      <c r="Q2335" s="16" t="s">
        <v>7974</v>
      </c>
      <c r="R2335" s="17" t="s">
        <v>7975</v>
      </c>
      <c r="S2335" s="12"/>
      <c r="T2335" s="12"/>
      <c r="U2335" s="10" t="str">
        <f>HYPERLINK("https://pbs.twimg.com/profile_images/1070228270157848576/bc8cSMkw.jpg","View")</f>
        <v>View</v>
      </c>
    </row>
    <row r="2336" spans="1:21" ht="61.2">
      <c r="A2336" s="6">
        <v>43436.277303240742</v>
      </c>
      <c r="B2336" s="7" t="str">
        <f>HYPERLINK("https://twitter.com/jordiburg","@jordiburg")</f>
        <v>@jordiburg</v>
      </c>
      <c r="C2336" s="8" t="s">
        <v>7976</v>
      </c>
      <c r="D2336" s="9" t="s">
        <v>7977</v>
      </c>
      <c r="E2336" s="10" t="str">
        <f>HYPERLINK("https://twitter.com/jordiburg/status/1069103697941139462","1069103697941139462")</f>
        <v>1069103697941139462</v>
      </c>
      <c r="F2336" s="11" t="s">
        <v>7978</v>
      </c>
      <c r="G2336" s="11" t="s">
        <v>7979</v>
      </c>
      <c r="H2336" s="12"/>
      <c r="I2336" s="13">
        <v>19</v>
      </c>
      <c r="J2336" s="13">
        <v>20</v>
      </c>
      <c r="K2336" s="14" t="str">
        <f>HYPERLINK("https://mobile.twitter.com","Twitter Lite")</f>
        <v>Twitter Lite</v>
      </c>
      <c r="L2336" s="13">
        <v>7242</v>
      </c>
      <c r="M2336" s="13">
        <v>7616</v>
      </c>
      <c r="N2336" s="13">
        <v>9</v>
      </c>
      <c r="O2336" s="15"/>
      <c r="P2336" s="6">
        <v>41444.568842592591</v>
      </c>
      <c r="Q2336" s="12"/>
      <c r="R2336" s="20"/>
      <c r="S2336" s="12"/>
      <c r="T2336" s="12"/>
      <c r="U2336" s="10" t="str">
        <f>HYPERLINK("https://pbs.twimg.com/profile_images/1045621951476248576/VqbsGwe2.jpg","View")</f>
        <v>View</v>
      </c>
    </row>
    <row r="2337" spans="1:21" ht="20.399999999999999">
      <c r="A2337" s="6">
        <v>43436.245648148149</v>
      </c>
      <c r="B2337" s="7" t="str">
        <f>HYPERLINK("https://twitter.com/jordijuan3","@jordijuan3")</f>
        <v>@jordijuan3</v>
      </c>
      <c r="C2337" s="8" t="s">
        <v>7980</v>
      </c>
      <c r="D2337" s="9" t="s">
        <v>7981</v>
      </c>
      <c r="E2337" s="10" t="str">
        <f>HYPERLINK("https://twitter.com/jordijuan3/status/1069092228574912512","1069092228574912512")</f>
        <v>1069092228574912512</v>
      </c>
      <c r="F2337" s="12"/>
      <c r="G2337" s="12"/>
      <c r="H2337" s="12"/>
      <c r="I2337" s="13">
        <v>4</v>
      </c>
      <c r="J2337" s="13">
        <v>0</v>
      </c>
      <c r="K2337" s="14" t="str">
        <f t="shared" ref="K2337:K2338" si="417">HYPERLINK("http://twitter.com/download/android","Twitter for Android")</f>
        <v>Twitter for Android</v>
      </c>
      <c r="L2337" s="13">
        <v>517</v>
      </c>
      <c r="M2337" s="13">
        <v>1158</v>
      </c>
      <c r="N2337" s="13">
        <v>33</v>
      </c>
      <c r="O2337" s="15"/>
      <c r="P2337" s="6">
        <v>40872.682175925926</v>
      </c>
      <c r="Q2337" s="16" t="s">
        <v>48</v>
      </c>
      <c r="R2337" s="17" t="s">
        <v>7982</v>
      </c>
      <c r="S2337" s="12"/>
      <c r="T2337" s="12"/>
      <c r="U2337" s="10" t="str">
        <f>HYPERLINK("https://pbs.twimg.com/profile_images/1069402060620210177/YqTUlWdv.jpg","View")</f>
        <v>View</v>
      </c>
    </row>
    <row r="2338" spans="1:21" ht="51">
      <c r="A2338" s="6">
        <v>43436.224155092597</v>
      </c>
      <c r="B2338" s="7" t="str">
        <f>HYPERLINK("https://twitter.com/marimardona","@marimardona")</f>
        <v>@marimardona</v>
      </c>
      <c r="C2338" s="8" t="s">
        <v>5624</v>
      </c>
      <c r="D2338" s="9" t="s">
        <v>7983</v>
      </c>
      <c r="E2338" s="10" t="str">
        <f>HYPERLINK("https://twitter.com/marimardona/status/1069084437042860032","1069084437042860032")</f>
        <v>1069084437042860032</v>
      </c>
      <c r="F2338" s="12"/>
      <c r="G2338" s="11" t="s">
        <v>7984</v>
      </c>
      <c r="H2338" s="12"/>
      <c r="I2338" s="13">
        <v>2</v>
      </c>
      <c r="J2338" s="13">
        <v>0</v>
      </c>
      <c r="K2338" s="14" t="str">
        <f t="shared" si="417"/>
        <v>Twitter for Android</v>
      </c>
      <c r="L2338" s="13">
        <v>5486</v>
      </c>
      <c r="M2338" s="13">
        <v>5467</v>
      </c>
      <c r="N2338" s="13">
        <v>82</v>
      </c>
      <c r="O2338" s="15"/>
      <c r="P2338" s="6">
        <v>40640.747418981482</v>
      </c>
      <c r="Q2338" s="16" t="s">
        <v>874</v>
      </c>
      <c r="R2338" s="17" t="s">
        <v>5627</v>
      </c>
      <c r="S2338" s="12"/>
      <c r="T2338" s="12"/>
      <c r="U2338" s="10" t="str">
        <f>HYPERLINK("https://pbs.twimg.com/profile_images/1067153789701054464/TOVW5ynp.jpg","View")</f>
        <v>View</v>
      </c>
    </row>
    <row r="2339" spans="1:21" ht="40.799999999999997">
      <c r="A2339" s="6">
        <v>43436.140810185185</v>
      </c>
      <c r="B2339" s="7" t="str">
        <f>HYPERLINK("https://twitter.com/jatirado","@jatirado")</f>
        <v>@jatirado</v>
      </c>
      <c r="C2339" s="8" t="s">
        <v>188</v>
      </c>
      <c r="D2339" s="9" t="s">
        <v>7592</v>
      </c>
      <c r="E2339" s="10" t="str">
        <f>HYPERLINK("https://twitter.com/jatirado/status/1069054234442706945","1069054234442706945")</f>
        <v>1069054234442706945</v>
      </c>
      <c r="F2339" s="11" t="s">
        <v>7985</v>
      </c>
      <c r="G2339" s="11" t="s">
        <v>7986</v>
      </c>
      <c r="H2339" s="12"/>
      <c r="I2339" s="13">
        <v>0</v>
      </c>
      <c r="J2339" s="13">
        <v>0</v>
      </c>
      <c r="K2339" s="14" t="str">
        <f t="shared" ref="K2339:K2340" si="418">HYPERLINK("https://dlvrit.com/","dlvr.it")</f>
        <v>dlvr.it</v>
      </c>
      <c r="L2339" s="13">
        <v>81545</v>
      </c>
      <c r="M2339" s="13">
        <v>49760</v>
      </c>
      <c r="N2339" s="13">
        <v>1030</v>
      </c>
      <c r="O2339" s="15"/>
      <c r="P2339" s="6">
        <v>40353.552581018521</v>
      </c>
      <c r="Q2339" s="16" t="s">
        <v>191</v>
      </c>
      <c r="R2339" s="17" t="s">
        <v>192</v>
      </c>
      <c r="S2339" s="11" t="s">
        <v>193</v>
      </c>
      <c r="T2339" s="12"/>
      <c r="U2339" s="10" t="str">
        <f>HYPERLINK("https://pbs.twimg.com/profile_images/485680559742791680/dg68o8vH.jpeg","View")</f>
        <v>View</v>
      </c>
    </row>
    <row r="2340" spans="1:21" ht="30.6">
      <c r="A2340" s="6">
        <v>43436.134074074071</v>
      </c>
      <c r="B2340" s="7" t="str">
        <f>HYPERLINK("https://twitter.com/AmerHoy","@AmerHoy")</f>
        <v>@AmerHoy</v>
      </c>
      <c r="C2340" s="8" t="s">
        <v>7987</v>
      </c>
      <c r="D2340" s="9" t="s">
        <v>7592</v>
      </c>
      <c r="E2340" s="10" t="str">
        <f>HYPERLINK("https://twitter.com/AmerHoy/status/1069051792959266816","1069051792959266816")</f>
        <v>1069051792959266816</v>
      </c>
      <c r="F2340" s="11" t="s">
        <v>7988</v>
      </c>
      <c r="G2340" s="11" t="s">
        <v>7989</v>
      </c>
      <c r="H2340" s="12"/>
      <c r="I2340" s="13">
        <v>0</v>
      </c>
      <c r="J2340" s="13">
        <v>0</v>
      </c>
      <c r="K2340" s="14" t="str">
        <f t="shared" si="418"/>
        <v>dlvr.it</v>
      </c>
      <c r="L2340" s="13">
        <v>187</v>
      </c>
      <c r="M2340" s="13">
        <v>356</v>
      </c>
      <c r="N2340" s="13">
        <v>3</v>
      </c>
      <c r="O2340" s="15"/>
      <c r="P2340" s="6">
        <v>40512.88244212963</v>
      </c>
      <c r="Q2340" s="16" t="s">
        <v>7990</v>
      </c>
      <c r="R2340" s="17" t="s">
        <v>7991</v>
      </c>
      <c r="S2340" s="11" t="s">
        <v>7992</v>
      </c>
      <c r="T2340" s="12"/>
      <c r="U2340" s="10" t="str">
        <f>HYPERLINK("https://pbs.twimg.com/profile_images/608256845744996352/H8VQC3as.jpg","View")</f>
        <v>View</v>
      </c>
    </row>
    <row r="2341" spans="1:21" ht="20.399999999999999">
      <c r="A2341" s="6">
        <v>43436.121296296296</v>
      </c>
      <c r="B2341" s="7" t="str">
        <f>HYPERLINK("https://twitter.com/NEWSANTANDER","@NEWSANTANDER")</f>
        <v>@NEWSANTANDER</v>
      </c>
      <c r="C2341" s="8" t="s">
        <v>3368</v>
      </c>
      <c r="D2341" s="9" t="s">
        <v>7592</v>
      </c>
      <c r="E2341" s="10" t="str">
        <f>HYPERLINK("https://twitter.com/NEWSANTANDER/status/1069047162493984768","1069047162493984768")</f>
        <v>1069047162493984768</v>
      </c>
      <c r="F2341" s="11" t="s">
        <v>7993</v>
      </c>
      <c r="G2341" s="12"/>
      <c r="H2341" s="12"/>
      <c r="I2341" s="13">
        <v>0</v>
      </c>
      <c r="J2341" s="13">
        <v>0</v>
      </c>
      <c r="K2341" s="14" t="str">
        <f>HYPERLINK("http://publicize.wp.com/","WordPress.com")</f>
        <v>WordPress.com</v>
      </c>
      <c r="L2341" s="13">
        <v>2719</v>
      </c>
      <c r="M2341" s="13">
        <v>2678</v>
      </c>
      <c r="N2341" s="13">
        <v>22</v>
      </c>
      <c r="O2341" s="15"/>
      <c r="P2341" s="6">
        <v>42254.827662037038</v>
      </c>
      <c r="Q2341" s="12"/>
      <c r="R2341" s="20"/>
      <c r="S2341" s="12"/>
      <c r="T2341" s="12"/>
      <c r="U2341" s="10" t="str">
        <f>HYPERLINK("https://pbs.twimg.com/profile_images/640946719002361856/uwfBU4CB.jpg","View")</f>
        <v>View</v>
      </c>
    </row>
    <row r="2342" spans="1:21" ht="20.399999999999999">
      <c r="A2342" s="6">
        <v>43436.112476851849</v>
      </c>
      <c r="B2342" s="7" t="str">
        <f>HYPERLINK("https://twitter.com/EspanaActual","@EspanaActual")</f>
        <v>@EspanaActual</v>
      </c>
      <c r="C2342" s="8" t="s">
        <v>1303</v>
      </c>
      <c r="D2342" s="9" t="s">
        <v>7592</v>
      </c>
      <c r="E2342" s="10" t="str">
        <f>HYPERLINK("https://twitter.com/EspanaActual/status/1069043966417477637","1069043966417477637")</f>
        <v>1069043966417477637</v>
      </c>
      <c r="F2342" s="11" t="s">
        <v>7100</v>
      </c>
      <c r="G2342" s="12"/>
      <c r="H2342" s="12"/>
      <c r="I2342" s="13">
        <v>0</v>
      </c>
      <c r="J2342" s="13">
        <v>0</v>
      </c>
      <c r="K2342" s="14" t="str">
        <f>HYPERLINK("http://www.wonderland.fm/","wonderland.fm")</f>
        <v>wonderland.fm</v>
      </c>
      <c r="L2342" s="13">
        <v>255</v>
      </c>
      <c r="M2342" s="13">
        <v>0</v>
      </c>
      <c r="N2342" s="13">
        <v>5</v>
      </c>
      <c r="O2342" s="15"/>
      <c r="P2342" s="6">
        <v>41357.845486111109</v>
      </c>
      <c r="Q2342" s="16" t="s">
        <v>48</v>
      </c>
      <c r="R2342" s="17" t="s">
        <v>1304</v>
      </c>
      <c r="S2342" s="12"/>
      <c r="T2342" s="12"/>
      <c r="U2342" s="10" t="str">
        <f>HYPERLINK("https://pbs.twimg.com/profile_images/745695516982378496/lAlJBkNT.jpg","View")</f>
        <v>View</v>
      </c>
    </row>
    <row r="2343" spans="1:21" ht="30.6">
      <c r="A2343" s="6">
        <v>43436.107361111106</v>
      </c>
      <c r="B2343" s="7" t="str">
        <f>HYPERLINK("https://twitter.com/LQbata","@LQbata")</f>
        <v>@LQbata</v>
      </c>
      <c r="C2343" s="8" t="s">
        <v>7994</v>
      </c>
      <c r="D2343" s="9" t="s">
        <v>7995</v>
      </c>
      <c r="E2343" s="10" t="str">
        <f>HYPERLINK("https://twitter.com/LQbata/status/1069042113030033408","1069042113030033408")</f>
        <v>1069042113030033408</v>
      </c>
      <c r="F2343" s="12"/>
      <c r="G2343" s="12"/>
      <c r="H2343" s="12"/>
      <c r="I2343" s="13">
        <v>0</v>
      </c>
      <c r="J2343" s="13">
        <v>0</v>
      </c>
      <c r="K2343" s="14" t="str">
        <f>HYPERLINK("http://twitter.com","Twitter Web Client")</f>
        <v>Twitter Web Client</v>
      </c>
      <c r="L2343" s="13">
        <v>1103</v>
      </c>
      <c r="M2343" s="13">
        <v>1030</v>
      </c>
      <c r="N2343" s="13">
        <v>3</v>
      </c>
      <c r="O2343" s="15"/>
      <c r="P2343" s="6">
        <v>40599.400509259256</v>
      </c>
      <c r="Q2343" s="16" t="s">
        <v>1754</v>
      </c>
      <c r="R2343" s="17" t="s">
        <v>7996</v>
      </c>
      <c r="S2343" s="12"/>
      <c r="T2343" s="12"/>
      <c r="U2343" s="10" t="str">
        <f>HYPERLINK("https://pbs.twimg.com/profile_images/1001376495456194565/YDfc44Vc.jpg","View")</f>
        <v>View</v>
      </c>
    </row>
    <row r="2344" spans="1:21" ht="20.399999999999999">
      <c r="A2344" s="6">
        <v>43436.100381944445</v>
      </c>
      <c r="B2344" s="7" t="str">
        <f>HYPERLINK("https://twitter.com/titulares24hora","@titulares24hora")</f>
        <v>@titulares24hora</v>
      </c>
      <c r="C2344" s="8" t="s">
        <v>352</v>
      </c>
      <c r="D2344" s="9" t="s">
        <v>7592</v>
      </c>
      <c r="E2344" s="10" t="str">
        <f>HYPERLINK("https://twitter.com/titulares24hora/status/1069039586960203776","1069039586960203776")</f>
        <v>1069039586960203776</v>
      </c>
      <c r="F2344" s="12"/>
      <c r="G2344" s="12"/>
      <c r="H2344" s="12"/>
      <c r="I2344" s="13">
        <v>0</v>
      </c>
      <c r="J2344" s="13">
        <v>0</v>
      </c>
      <c r="K2344" s="14" t="str">
        <f t="shared" ref="K2344:K2345" si="419">HYPERLINK("https://ifttt.com","IFTTT")</f>
        <v>IFTTT</v>
      </c>
      <c r="L2344" s="13">
        <v>394</v>
      </c>
      <c r="M2344" s="13">
        <v>1462</v>
      </c>
      <c r="N2344" s="13">
        <v>2</v>
      </c>
      <c r="O2344" s="15"/>
      <c r="P2344" s="6">
        <v>42508.446805555555</v>
      </c>
      <c r="Q2344" s="12"/>
      <c r="R2344" s="17" t="s">
        <v>355</v>
      </c>
      <c r="S2344" s="12"/>
      <c r="T2344" s="12"/>
      <c r="U2344" s="10" t="str">
        <f>HYPERLINK("https://pbs.twimg.com/profile_images/732855169034166272/A8O2LY2J.jpg","View")</f>
        <v>View</v>
      </c>
    </row>
    <row r="2345" spans="1:21" ht="20.399999999999999">
      <c r="A2345" s="6">
        <v>43436.099421296298</v>
      </c>
      <c r="B2345" s="7" t="str">
        <f>HYPERLINK("https://twitter.com/adelacafe93","@adelacafe93")</f>
        <v>@adelacafe93</v>
      </c>
      <c r="C2345" s="8" t="s">
        <v>322</v>
      </c>
      <c r="D2345" s="9" t="s">
        <v>7592</v>
      </c>
      <c r="E2345" s="10" t="str">
        <f>HYPERLINK("https://twitter.com/adelacafe93/status/1069039238174388224","1069039238174388224")</f>
        <v>1069039238174388224</v>
      </c>
      <c r="F2345" s="11" t="s">
        <v>7997</v>
      </c>
      <c r="G2345" s="12"/>
      <c r="H2345" s="12"/>
      <c r="I2345" s="13">
        <v>0</v>
      </c>
      <c r="J2345" s="13">
        <v>0</v>
      </c>
      <c r="K2345" s="14" t="str">
        <f t="shared" si="419"/>
        <v>IFTTT</v>
      </c>
      <c r="L2345" s="13">
        <v>18</v>
      </c>
      <c r="M2345" s="13">
        <v>47</v>
      </c>
      <c r="N2345" s="13">
        <v>0</v>
      </c>
      <c r="O2345" s="15"/>
      <c r="P2345" s="6">
        <v>42761.615034722221</v>
      </c>
      <c r="Q2345" s="16" t="s">
        <v>326</v>
      </c>
      <c r="R2345" s="17" t="s">
        <v>327</v>
      </c>
      <c r="S2345" s="12"/>
      <c r="T2345" s="12"/>
      <c r="U2345" s="10" t="str">
        <f>HYPERLINK("https://pbs.twimg.com/profile_images/824614694078013444/fkDV_Y0Z.jpg","View")</f>
        <v>View</v>
      </c>
    </row>
    <row r="2346" spans="1:21" ht="30.6">
      <c r="A2346" s="6">
        <v>43436.087013888886</v>
      </c>
      <c r="B2346" s="7" t="str">
        <f>HYPERLINK("https://twitter.com/lluisgasol","@lluisgasol")</f>
        <v>@lluisgasol</v>
      </c>
      <c r="C2346" s="8" t="s">
        <v>7998</v>
      </c>
      <c r="D2346" s="9" t="s">
        <v>7999</v>
      </c>
      <c r="E2346" s="10" t="str">
        <f>HYPERLINK("https://twitter.com/lluisgasol/status/1069034742505459712","1069034742505459712")</f>
        <v>1069034742505459712</v>
      </c>
      <c r="F2346" s="12"/>
      <c r="G2346" s="12"/>
      <c r="H2346" s="12"/>
      <c r="I2346" s="13">
        <v>0</v>
      </c>
      <c r="J2346" s="13">
        <v>0</v>
      </c>
      <c r="K2346" s="14" t="str">
        <f>HYPERLINK("http://twitter.com","Twitter Web Client")</f>
        <v>Twitter Web Client</v>
      </c>
      <c r="L2346" s="13">
        <v>228</v>
      </c>
      <c r="M2346" s="13">
        <v>140</v>
      </c>
      <c r="N2346" s="13">
        <v>12</v>
      </c>
      <c r="O2346" s="15"/>
      <c r="P2346" s="6">
        <v>41003.666331018518</v>
      </c>
      <c r="Q2346" s="12"/>
      <c r="R2346" s="20"/>
      <c r="S2346" s="12"/>
      <c r="T2346" s="12"/>
      <c r="U2346" s="10" t="str">
        <f>HYPERLINK("https://pbs.twimg.com/profile_images/780554664379121664/AjcMEOsj.jpg","View")</f>
        <v>View</v>
      </c>
    </row>
    <row r="2347" spans="1:21" ht="20.399999999999999">
      <c r="A2347" s="6">
        <v>43436.075671296298</v>
      </c>
      <c r="B2347" s="7" t="str">
        <f>HYPERLINK("https://twitter.com/ygandiro","@ygandiro")</f>
        <v>@ygandiro</v>
      </c>
      <c r="C2347" s="8" t="s">
        <v>8000</v>
      </c>
      <c r="D2347" s="9" t="s">
        <v>4581</v>
      </c>
      <c r="E2347" s="10" t="str">
        <f>HYPERLINK("https://twitter.com/ygandiro/status/1069030631248707586","1069030631248707586")</f>
        <v>1069030631248707586</v>
      </c>
      <c r="F2347" s="11" t="s">
        <v>8001</v>
      </c>
      <c r="G2347" s="12"/>
      <c r="H2347" s="12"/>
      <c r="I2347" s="13">
        <v>0</v>
      </c>
      <c r="J2347" s="13">
        <v>0</v>
      </c>
      <c r="K2347" s="14" t="str">
        <f>HYPERLINK("http://twitter.com/download/android","Twitter for Android")</f>
        <v>Twitter for Android</v>
      </c>
      <c r="L2347" s="13">
        <v>55</v>
      </c>
      <c r="M2347" s="13">
        <v>305</v>
      </c>
      <c r="N2347" s="13">
        <v>0</v>
      </c>
      <c r="O2347" s="15"/>
      <c r="P2347" s="6">
        <v>41183.023113425923</v>
      </c>
      <c r="Q2347" s="12"/>
      <c r="R2347" s="20"/>
      <c r="S2347" s="12"/>
      <c r="T2347" s="12"/>
      <c r="U2347" s="10" t="str">
        <f>HYPERLINK("https://pbs.twimg.com/profile_images/2667483743/9c3bf530a3ec197e7560f9df4d3e6368.jpeg","View")</f>
        <v>View</v>
      </c>
    </row>
    <row r="2348" spans="1:21" ht="30.6">
      <c r="A2348" s="6">
        <v>43436.053020833337</v>
      </c>
      <c r="B2348" s="7" t="str">
        <f>HYPERLINK("https://twitter.com/clasicoco","@clasicoco")</f>
        <v>@clasicoco</v>
      </c>
      <c r="C2348" s="8" t="s">
        <v>4991</v>
      </c>
      <c r="D2348" s="9" t="s">
        <v>8002</v>
      </c>
      <c r="E2348" s="10" t="str">
        <f>HYPERLINK("https://twitter.com/clasicoco/status/1069022421758423040","1069022421758423040")</f>
        <v>1069022421758423040</v>
      </c>
      <c r="F2348" s="12"/>
      <c r="G2348" s="12"/>
      <c r="H2348" s="12"/>
      <c r="I2348" s="13">
        <v>0</v>
      </c>
      <c r="J2348" s="13">
        <v>0</v>
      </c>
      <c r="K2348" s="14" t="str">
        <f>HYPERLINK("http://twitter.com/download/iphone","Twitter for iPhone")</f>
        <v>Twitter for iPhone</v>
      </c>
      <c r="L2348" s="13">
        <v>436</v>
      </c>
      <c r="M2348" s="13">
        <v>485</v>
      </c>
      <c r="N2348" s="13">
        <v>5</v>
      </c>
      <c r="O2348" s="15"/>
      <c r="P2348" s="6">
        <v>40246.678402777776</v>
      </c>
      <c r="Q2348" s="16" t="s">
        <v>4993</v>
      </c>
      <c r="R2348" s="17" t="s">
        <v>4994</v>
      </c>
      <c r="S2348" s="11" t="s">
        <v>4995</v>
      </c>
      <c r="T2348" s="12"/>
      <c r="U2348" s="10" t="str">
        <f>HYPERLINK("https://pbs.twimg.com/profile_images/944616430812762113/q_WuIeT2.jpg","View")</f>
        <v>View</v>
      </c>
    </row>
    <row r="2349" spans="1:21" ht="40.799999999999997">
      <c r="A2349" s="6">
        <v>43436.04760416667</v>
      </c>
      <c r="B2349" s="7" t="str">
        <f>HYPERLINK("https://twitter.com/laureanodebat","@laureanodebat")</f>
        <v>@laureanodebat</v>
      </c>
      <c r="C2349" s="8" t="s">
        <v>8003</v>
      </c>
      <c r="D2349" s="9" t="s">
        <v>8004</v>
      </c>
      <c r="E2349" s="10" t="str">
        <f>HYPERLINK("https://twitter.com/laureanodebat/status/1069020460766109696","1069020460766109696")</f>
        <v>1069020460766109696</v>
      </c>
      <c r="F2349" s="12"/>
      <c r="G2349" s="12"/>
      <c r="H2349" s="12"/>
      <c r="I2349" s="13">
        <v>0</v>
      </c>
      <c r="J2349" s="13">
        <v>3</v>
      </c>
      <c r="K2349" s="14" t="str">
        <f>HYPERLINK("https://mobile.twitter.com","Twitter Lite")</f>
        <v>Twitter Lite</v>
      </c>
      <c r="L2349" s="13">
        <v>1206</v>
      </c>
      <c r="M2349" s="13">
        <v>979</v>
      </c>
      <c r="N2349" s="13">
        <v>51</v>
      </c>
      <c r="O2349" s="15"/>
      <c r="P2349" s="6">
        <v>40784.886087962965</v>
      </c>
      <c r="Q2349" s="16" t="s">
        <v>8005</v>
      </c>
      <c r="R2349" s="17" t="s">
        <v>8006</v>
      </c>
      <c r="S2349" s="11" t="s">
        <v>8007</v>
      </c>
      <c r="T2349" s="12"/>
      <c r="U2349" s="10" t="str">
        <f>HYPERLINK("https://pbs.twimg.com/profile_images/1065461374225137664/hbQu4QLT.jpg","View")</f>
        <v>View</v>
      </c>
    </row>
    <row r="2350" spans="1:21" ht="30.6">
      <c r="A2350" s="6">
        <v>43436.047453703708</v>
      </c>
      <c r="B2350" s="7" t="str">
        <f>HYPERLINK("https://twitter.com/EstherPPareja","@EstherPPareja")</f>
        <v>@EstherPPareja</v>
      </c>
      <c r="C2350" s="8" t="s">
        <v>8008</v>
      </c>
      <c r="D2350" s="9" t="s">
        <v>4581</v>
      </c>
      <c r="E2350" s="10" t="str">
        <f>HYPERLINK("https://twitter.com/EstherPPareja/status/1069020402352119809","1069020402352119809")</f>
        <v>1069020402352119809</v>
      </c>
      <c r="F2350" s="11" t="s">
        <v>8009</v>
      </c>
      <c r="G2350" s="12"/>
      <c r="H2350" s="12"/>
      <c r="I2350" s="13">
        <v>0</v>
      </c>
      <c r="J2350" s="13">
        <v>0</v>
      </c>
      <c r="K2350" s="14" t="str">
        <f t="shared" ref="K2350:K2351" si="420">HYPERLINK("http://twitter.com/download/android","Twitter for Android")</f>
        <v>Twitter for Android</v>
      </c>
      <c r="L2350" s="13">
        <v>92</v>
      </c>
      <c r="M2350" s="13">
        <v>229</v>
      </c>
      <c r="N2350" s="13">
        <v>12</v>
      </c>
      <c r="O2350" s="15"/>
      <c r="P2350" s="6">
        <v>40682.404652777775</v>
      </c>
      <c r="Q2350" s="16" t="s">
        <v>191</v>
      </c>
      <c r="R2350" s="17" t="s">
        <v>8010</v>
      </c>
      <c r="S2350" s="12"/>
      <c r="T2350" s="12"/>
      <c r="U2350" s="10" t="str">
        <f>HYPERLINK("https://pbs.twimg.com/profile_images/1061373865627136001/QsDYSQLU.jpg","View")</f>
        <v>View</v>
      </c>
    </row>
    <row r="2351" spans="1:21" ht="30.6">
      <c r="A2351" s="6">
        <v>43436.026203703703</v>
      </c>
      <c r="B2351" s="7" t="str">
        <f>HYPERLINK("https://twitter.com/PyetroLamarka","@PyetroLamarka")</f>
        <v>@PyetroLamarka</v>
      </c>
      <c r="C2351" s="8" t="s">
        <v>8011</v>
      </c>
      <c r="D2351" s="9" t="s">
        <v>8012</v>
      </c>
      <c r="E2351" s="10" t="str">
        <f>HYPERLINK("https://twitter.com/PyetroLamarka/status/1069012705623900160","1069012705623900160")</f>
        <v>1069012705623900160</v>
      </c>
      <c r="F2351" s="12"/>
      <c r="G2351" s="11" t="s">
        <v>7585</v>
      </c>
      <c r="H2351" s="12"/>
      <c r="I2351" s="13">
        <v>0</v>
      </c>
      <c r="J2351" s="13">
        <v>0</v>
      </c>
      <c r="K2351" s="14" t="str">
        <f t="shared" si="420"/>
        <v>Twitter for Android</v>
      </c>
      <c r="L2351" s="13">
        <v>379</v>
      </c>
      <c r="M2351" s="13">
        <v>588</v>
      </c>
      <c r="N2351" s="13">
        <v>3</v>
      </c>
      <c r="O2351" s="15"/>
      <c r="P2351" s="6">
        <v>40447.731736111113</v>
      </c>
      <c r="Q2351" s="12"/>
      <c r="R2351" s="17" t="s">
        <v>8013</v>
      </c>
      <c r="S2351" s="12"/>
      <c r="T2351" s="12"/>
      <c r="U2351" s="10" t="str">
        <f>HYPERLINK("https://pbs.twimg.com/profile_images/2832267267/4bf580b82c89bc848ff116259ae7e140.jpeg","View")</f>
        <v>View</v>
      </c>
    </row>
    <row r="2352" spans="1:21" ht="51">
      <c r="A2352" s="6">
        <v>43436.022511574076</v>
      </c>
      <c r="B2352" s="7" t="str">
        <f>HYPERLINK("https://twitter.com/Xiscally","@Xiscally")</f>
        <v>@Xiscally</v>
      </c>
      <c r="C2352" s="8" t="s">
        <v>5404</v>
      </c>
      <c r="D2352" s="9" t="s">
        <v>8014</v>
      </c>
      <c r="E2352" s="10" t="str">
        <f>HYPERLINK("https://twitter.com/Xiscally/status/1069011367519236102","1069011367519236102")</f>
        <v>1069011367519236102</v>
      </c>
      <c r="F2352" s="12"/>
      <c r="G2352" s="12"/>
      <c r="H2352" s="12"/>
      <c r="I2352" s="13">
        <v>0</v>
      </c>
      <c r="J2352" s="13">
        <v>1</v>
      </c>
      <c r="K2352" s="14" t="str">
        <f>HYPERLINK("http://twitter.com","Twitter Web Client")</f>
        <v>Twitter Web Client</v>
      </c>
      <c r="L2352" s="13">
        <v>640</v>
      </c>
      <c r="M2352" s="13">
        <v>322</v>
      </c>
      <c r="N2352" s="13">
        <v>54</v>
      </c>
      <c r="O2352" s="15"/>
      <c r="P2352" s="6">
        <v>40014.69908564815</v>
      </c>
      <c r="Q2352" s="16" t="s">
        <v>5406</v>
      </c>
      <c r="R2352" s="17" t="s">
        <v>5407</v>
      </c>
      <c r="S2352" s="11" t="s">
        <v>5408</v>
      </c>
      <c r="T2352" s="12"/>
      <c r="U2352" s="10" t="str">
        <f>HYPERLINK("https://pbs.twimg.com/profile_images/378800000656060765/0c7e482271392c1346f5fecd05e06c0a.jpeg","View")</f>
        <v>View</v>
      </c>
    </row>
    <row r="2353" spans="1:21" ht="51">
      <c r="A2353" s="6">
        <v>43436.021331018521</v>
      </c>
      <c r="B2353" s="7" t="str">
        <f>HYPERLINK("https://twitter.com/Jesusestrella44","@Jesusestrella44")</f>
        <v>@Jesusestrella44</v>
      </c>
      <c r="C2353" s="8" t="s">
        <v>8015</v>
      </c>
      <c r="D2353" s="9" t="s">
        <v>8016</v>
      </c>
      <c r="E2353" s="10" t="str">
        <f>HYPERLINK("https://twitter.com/Jesusestrella44/status/1069010936881664000","1069010936881664000")</f>
        <v>1069010936881664000</v>
      </c>
      <c r="F2353" s="12"/>
      <c r="G2353" s="12"/>
      <c r="H2353" s="12"/>
      <c r="I2353" s="13">
        <v>0</v>
      </c>
      <c r="J2353" s="13">
        <v>0</v>
      </c>
      <c r="K2353" s="14" t="str">
        <f>HYPERLINK("http://twitter.com/download/android","Twitter for Android")</f>
        <v>Twitter for Android</v>
      </c>
      <c r="L2353" s="13">
        <v>166</v>
      </c>
      <c r="M2353" s="13">
        <v>386</v>
      </c>
      <c r="N2353" s="13">
        <v>1</v>
      </c>
      <c r="O2353" s="15"/>
      <c r="P2353" s="6">
        <v>42756.977662037039</v>
      </c>
      <c r="Q2353" s="16" t="s">
        <v>4236</v>
      </c>
      <c r="R2353" s="17" t="s">
        <v>8017</v>
      </c>
      <c r="S2353" s="12"/>
      <c r="T2353" s="12"/>
      <c r="U2353" s="10" t="str">
        <f>HYPERLINK("https://pbs.twimg.com/profile_images/1069922776050479105/n1AUf8js.jpg","View")</f>
        <v>View</v>
      </c>
    </row>
    <row r="2354" spans="1:21" ht="20.399999999999999">
      <c r="A2354" s="6">
        <v>43436.001469907409</v>
      </c>
      <c r="B2354" s="7" t="str">
        <f>HYPERLINK("https://twitter.com/josemariablanc2","@josemariablanc2")</f>
        <v>@josemariablanc2</v>
      </c>
      <c r="C2354" s="8" t="s">
        <v>8018</v>
      </c>
      <c r="D2354" s="9" t="s">
        <v>8019</v>
      </c>
      <c r="E2354" s="10" t="str">
        <f>HYPERLINK("https://twitter.com/josemariablanc2/status/1069003741817384960","1069003741817384960")</f>
        <v>1069003741817384960</v>
      </c>
      <c r="F2354" s="11" t="s">
        <v>8020</v>
      </c>
      <c r="G2354" s="12"/>
      <c r="H2354" s="12"/>
      <c r="I2354" s="13">
        <v>2</v>
      </c>
      <c r="J2354" s="13">
        <v>1</v>
      </c>
      <c r="K2354" s="14" t="str">
        <f>HYPERLINK("http://twitter.com","Twitter Web Client")</f>
        <v>Twitter Web Client</v>
      </c>
      <c r="L2354" s="13">
        <v>595</v>
      </c>
      <c r="M2354" s="13">
        <v>991</v>
      </c>
      <c r="N2354" s="13">
        <v>12</v>
      </c>
      <c r="O2354" s="15"/>
      <c r="P2354" s="6">
        <v>40951.519513888888</v>
      </c>
      <c r="Q2354" s="12"/>
      <c r="R2354" s="17" t="s">
        <v>8021</v>
      </c>
      <c r="S2354" s="12"/>
      <c r="T2354" s="12"/>
      <c r="U2354" s="10" t="str">
        <f>HYPERLINK("https://pbs.twimg.com/profile_images/1012779281238200321/1gn6AvpX.jpg","View")</f>
        <v>View</v>
      </c>
    </row>
    <row r="2355" spans="1:21" ht="40.799999999999997">
      <c r="A2355" s="6">
        <v>43436.000081018516</v>
      </c>
      <c r="B2355" s="7" t="str">
        <f>HYPERLINK("https://twitter.com/EspanaNoticiasV","@EspanaNoticiasV")</f>
        <v>@EspanaNoticiasV</v>
      </c>
      <c r="C2355" s="8" t="s">
        <v>8022</v>
      </c>
      <c r="D2355" s="9" t="s">
        <v>8023</v>
      </c>
      <c r="E2355" s="10" t="str">
        <f>HYPERLINK("https://twitter.com/EspanaNoticiasV/status/1069003238622416897","1069003238622416897")</f>
        <v>1069003238622416897</v>
      </c>
      <c r="F2355" s="11" t="s">
        <v>8024</v>
      </c>
      <c r="G2355" s="12"/>
      <c r="H2355" s="12"/>
      <c r="I2355" s="13">
        <v>0</v>
      </c>
      <c r="J2355" s="13">
        <v>0</v>
      </c>
      <c r="K2355" s="14" t="str">
        <f>HYPERLINK("http://wikyou.org.uk","EspanaNoticiasV auto post")</f>
        <v>EspanaNoticiasV auto post</v>
      </c>
      <c r="L2355" s="13">
        <v>1055</v>
      </c>
      <c r="M2355" s="13">
        <v>1419</v>
      </c>
      <c r="N2355" s="13">
        <v>9</v>
      </c>
      <c r="O2355" s="15"/>
      <c r="P2355" s="6">
        <v>40764.155925925923</v>
      </c>
      <c r="Q2355" s="16" t="s">
        <v>8025</v>
      </c>
      <c r="R2355" s="17" t="s">
        <v>8026</v>
      </c>
      <c r="S2355" s="11" t="s">
        <v>8027</v>
      </c>
      <c r="T2355" s="12"/>
      <c r="U2355" s="10" t="str">
        <f>HYPERLINK("https://pbs.twimg.com/profile_images/951378525189111808/4SUYzroq.jpg","View")</f>
        <v>View</v>
      </c>
    </row>
    <row r="2356" spans="1:21" ht="30.6">
      <c r="A2356" s="6">
        <v>43435.997615740736</v>
      </c>
      <c r="B2356" s="7" t="str">
        <f>HYPERLINK("https://twitter.com/Balkiszafar","@Balkiszafar")</f>
        <v>@Balkiszafar</v>
      </c>
      <c r="C2356" s="8" t="s">
        <v>8028</v>
      </c>
      <c r="D2356" s="9" t="s">
        <v>8029</v>
      </c>
      <c r="E2356" s="10" t="str">
        <f>HYPERLINK("https://twitter.com/Balkiszafar/status/1069002342819905538","1069002342819905538")</f>
        <v>1069002342819905538</v>
      </c>
      <c r="F2356" s="11" t="s">
        <v>512</v>
      </c>
      <c r="G2356" s="12"/>
      <c r="H2356" s="12"/>
      <c r="I2356" s="13">
        <v>0</v>
      </c>
      <c r="J2356" s="13">
        <v>0</v>
      </c>
      <c r="K2356" s="14" t="str">
        <f t="shared" ref="K2356:K2357" si="421">HYPERLINK("http://twitter.com/download/iphone","Twitter for iPhone")</f>
        <v>Twitter for iPhone</v>
      </c>
      <c r="L2356" s="13">
        <v>900</v>
      </c>
      <c r="M2356" s="13">
        <v>668</v>
      </c>
      <c r="N2356" s="13">
        <v>11</v>
      </c>
      <c r="O2356" s="15"/>
      <c r="P2356" s="6">
        <v>40750.002060185187</v>
      </c>
      <c r="Q2356" s="16" t="s">
        <v>328</v>
      </c>
      <c r="R2356" s="17" t="s">
        <v>8030</v>
      </c>
      <c r="S2356" s="12"/>
      <c r="T2356" s="12"/>
      <c r="U2356" s="10" t="str">
        <f>HYPERLINK("https://pbs.twimg.com/profile_images/947632381942489093/6UHgK94B.jpg","View")</f>
        <v>View</v>
      </c>
    </row>
    <row r="2357" spans="1:21" ht="61.2">
      <c r="A2357" s="6">
        <v>43435.996203703704</v>
      </c>
      <c r="B2357" s="7" t="str">
        <f>HYPERLINK("https://twitter.com/aitor_alvarez","@aitor_alvarez")</f>
        <v>@aitor_alvarez</v>
      </c>
      <c r="C2357" s="8" t="s">
        <v>8031</v>
      </c>
      <c r="D2357" s="9" t="s">
        <v>8032</v>
      </c>
      <c r="E2357" s="10" t="str">
        <f>HYPERLINK("https://twitter.com/aitor_alvarez/status/1069001832364675074","1069001832364675074")</f>
        <v>1069001832364675074</v>
      </c>
      <c r="F2357" s="11" t="s">
        <v>7715</v>
      </c>
      <c r="G2357" s="11" t="s">
        <v>7717</v>
      </c>
      <c r="H2357" s="12"/>
      <c r="I2357" s="13">
        <v>0</v>
      </c>
      <c r="J2357" s="13">
        <v>0</v>
      </c>
      <c r="K2357" s="14" t="str">
        <f t="shared" si="421"/>
        <v>Twitter for iPhone</v>
      </c>
      <c r="L2357" s="13">
        <v>2776</v>
      </c>
      <c r="M2357" s="13">
        <v>1088</v>
      </c>
      <c r="N2357" s="13">
        <v>70</v>
      </c>
      <c r="O2357" s="15"/>
      <c r="P2357" s="6">
        <v>40463.613078703704</v>
      </c>
      <c r="Q2357" s="16" t="s">
        <v>1455</v>
      </c>
      <c r="R2357" s="17" t="s">
        <v>8033</v>
      </c>
      <c r="S2357" s="11" t="s">
        <v>8034</v>
      </c>
      <c r="T2357" s="12"/>
      <c r="U2357" s="10" t="str">
        <f>HYPERLINK("https://pbs.twimg.com/profile_images/936680185520443392/PI_LIteP.jpg","View")</f>
        <v>View</v>
      </c>
    </row>
    <row r="2358" spans="1:21" ht="30.6">
      <c r="A2358" s="6">
        <v>43435.995312500003</v>
      </c>
      <c r="B2358" s="7" t="str">
        <f>HYPERLINK("https://twitter.com/ROSAARRANZ","@ROSAARRANZ")</f>
        <v>@ROSAARRANZ</v>
      </c>
      <c r="C2358" s="8" t="s">
        <v>8035</v>
      </c>
      <c r="D2358" s="9" t="s">
        <v>8036</v>
      </c>
      <c r="E2358" s="10" t="str">
        <f>HYPERLINK("https://twitter.com/ROSAARRANZ/status/1069001509709512709","1069001509709512709")</f>
        <v>1069001509709512709</v>
      </c>
      <c r="F2358" s="11" t="s">
        <v>8037</v>
      </c>
      <c r="G2358" s="12"/>
      <c r="H2358" s="12"/>
      <c r="I2358" s="13">
        <v>0</v>
      </c>
      <c r="J2358" s="13">
        <v>1</v>
      </c>
      <c r="K2358" s="14" t="str">
        <f>HYPERLINK("http://twitter.com","Twitter Web Client")</f>
        <v>Twitter Web Client</v>
      </c>
      <c r="L2358" s="13">
        <v>384</v>
      </c>
      <c r="M2358" s="13">
        <v>902</v>
      </c>
      <c r="N2358" s="13">
        <v>4</v>
      </c>
      <c r="O2358" s="15"/>
      <c r="P2358" s="6">
        <v>40845.766284722224</v>
      </c>
      <c r="Q2358" s="16" t="s">
        <v>8038</v>
      </c>
      <c r="R2358" s="17" t="s">
        <v>8039</v>
      </c>
      <c r="S2358" s="12"/>
      <c r="T2358" s="12"/>
      <c r="U2358" s="10" t="str">
        <f>HYPERLINK("https://pbs.twimg.com/profile_images/1034842195193458688/B90royPz.jpg","View")</f>
        <v>View</v>
      </c>
    </row>
    <row r="2359" spans="1:21" ht="30.6">
      <c r="A2359" s="6">
        <v>43435.993773148148</v>
      </c>
      <c r="B2359" s="7" t="str">
        <f>HYPERLINK("https://twitter.com/JAGURON","@JAGURON")</f>
        <v>@JAGURON</v>
      </c>
      <c r="C2359" s="8" t="s">
        <v>8040</v>
      </c>
      <c r="D2359" s="9" t="s">
        <v>8041</v>
      </c>
      <c r="E2359" s="10" t="str">
        <f>HYPERLINK("https://twitter.com/JAGURON/status/1069000951535755265","1069000951535755265")</f>
        <v>1069000951535755265</v>
      </c>
      <c r="F2359" s="12"/>
      <c r="G2359" s="12"/>
      <c r="H2359" s="12"/>
      <c r="I2359" s="13">
        <v>0</v>
      </c>
      <c r="J2359" s="13">
        <v>3</v>
      </c>
      <c r="K2359" s="14" t="str">
        <f t="shared" ref="K2359:K2362" si="422">HYPERLINK("http://twitter.com/download/android","Twitter for Android")</f>
        <v>Twitter for Android</v>
      </c>
      <c r="L2359" s="13">
        <v>90</v>
      </c>
      <c r="M2359" s="13">
        <v>168</v>
      </c>
      <c r="N2359" s="13">
        <v>7</v>
      </c>
      <c r="O2359" s="15"/>
      <c r="P2359" s="6">
        <v>40969.99009259259</v>
      </c>
      <c r="Q2359" s="12"/>
      <c r="R2359" s="17" t="s">
        <v>8042</v>
      </c>
      <c r="S2359" s="12"/>
      <c r="T2359" s="12"/>
      <c r="U2359" s="10" t="str">
        <f>HYPERLINK("https://pbs.twimg.com/profile_images/739810915252600832/tKso8og7.jpg","View")</f>
        <v>View</v>
      </c>
    </row>
    <row r="2360" spans="1:21" ht="40.799999999999997">
      <c r="A2360" s="6">
        <v>43435.990150462967</v>
      </c>
      <c r="B2360" s="7" t="str">
        <f t="shared" ref="B2360:B2361" si="423">HYPERLINK("https://twitter.com/cseiriz","@cseiriz")</f>
        <v>@cseiriz</v>
      </c>
      <c r="C2360" s="8" t="s">
        <v>8043</v>
      </c>
      <c r="D2360" s="9" t="s">
        <v>4581</v>
      </c>
      <c r="E2360" s="10" t="str">
        <f>HYPERLINK("https://twitter.com/cseiriz/status/1068999637388992513","1068999637388992513")</f>
        <v>1068999637388992513</v>
      </c>
      <c r="F2360" s="11" t="s">
        <v>8044</v>
      </c>
      <c r="G2360" s="12"/>
      <c r="H2360" s="12"/>
      <c r="I2360" s="13">
        <v>0</v>
      </c>
      <c r="J2360" s="13">
        <v>0</v>
      </c>
      <c r="K2360" s="14" t="str">
        <f t="shared" si="422"/>
        <v>Twitter for Android</v>
      </c>
      <c r="L2360" s="13">
        <v>3327</v>
      </c>
      <c r="M2360" s="13">
        <v>4997</v>
      </c>
      <c r="N2360" s="13">
        <v>205</v>
      </c>
      <c r="O2360" s="15"/>
      <c r="P2360" s="6">
        <v>41050.852569444447</v>
      </c>
      <c r="Q2360" s="16" t="s">
        <v>81</v>
      </c>
      <c r="R2360" s="17" t="s">
        <v>8045</v>
      </c>
      <c r="S2360" s="12"/>
      <c r="T2360" s="12"/>
      <c r="U2360" s="10" t="str">
        <f t="shared" ref="U2360:U2361" si="424">HYPERLINK("https://pbs.twimg.com/profile_images/3651122741/2de33ab821d3dafea1bfa29c09f405e9.jpeg","View")</f>
        <v>View</v>
      </c>
    </row>
    <row r="2361" spans="1:21" ht="40.799999999999997">
      <c r="A2361" s="6">
        <v>43435.988067129627</v>
      </c>
      <c r="B2361" s="7" t="str">
        <f t="shared" si="423"/>
        <v>@cseiriz</v>
      </c>
      <c r="C2361" s="8" t="s">
        <v>8043</v>
      </c>
      <c r="D2361" s="9" t="s">
        <v>8046</v>
      </c>
      <c r="E2361" s="10" t="str">
        <f>HYPERLINK("https://twitter.com/cseiriz/status/1068998885387976705","1068998885387976705")</f>
        <v>1068998885387976705</v>
      </c>
      <c r="F2361" s="11" t="s">
        <v>8047</v>
      </c>
      <c r="G2361" s="12"/>
      <c r="H2361" s="12"/>
      <c r="I2361" s="13">
        <v>0</v>
      </c>
      <c r="J2361" s="13">
        <v>0</v>
      </c>
      <c r="K2361" s="14" t="str">
        <f t="shared" si="422"/>
        <v>Twitter for Android</v>
      </c>
      <c r="L2361" s="13">
        <v>3327</v>
      </c>
      <c r="M2361" s="13">
        <v>4997</v>
      </c>
      <c r="N2361" s="13">
        <v>205</v>
      </c>
      <c r="O2361" s="15"/>
      <c r="P2361" s="6">
        <v>41050.852569444447</v>
      </c>
      <c r="Q2361" s="16" t="s">
        <v>81</v>
      </c>
      <c r="R2361" s="17" t="s">
        <v>8045</v>
      </c>
      <c r="S2361" s="12"/>
      <c r="T2361" s="12"/>
      <c r="U2361" s="10" t="str">
        <f t="shared" si="424"/>
        <v>View</v>
      </c>
    </row>
    <row r="2362" spans="1:21" ht="30.6">
      <c r="A2362" s="6">
        <v>43435.986250000002</v>
      </c>
      <c r="B2362" s="7" t="str">
        <f>HYPERLINK("https://twitter.com/soracrer","@soracrer")</f>
        <v>@soracrer</v>
      </c>
      <c r="C2362" s="8" t="s">
        <v>8048</v>
      </c>
      <c r="D2362" s="9" t="s">
        <v>8049</v>
      </c>
      <c r="E2362" s="10" t="str">
        <f>HYPERLINK("https://twitter.com/soracrer/status/1068998225858830339","1068998225858830339")</f>
        <v>1068998225858830339</v>
      </c>
      <c r="F2362" s="12"/>
      <c r="G2362" s="12"/>
      <c r="H2362" s="12"/>
      <c r="I2362" s="13">
        <v>0</v>
      </c>
      <c r="J2362" s="13">
        <v>1</v>
      </c>
      <c r="K2362" s="14" t="str">
        <f t="shared" si="422"/>
        <v>Twitter for Android</v>
      </c>
      <c r="L2362" s="13">
        <v>4</v>
      </c>
      <c r="M2362" s="13">
        <v>41</v>
      </c>
      <c r="N2362" s="13">
        <v>0</v>
      </c>
      <c r="O2362" s="15"/>
      <c r="P2362" s="6">
        <v>41915.720532407409</v>
      </c>
      <c r="Q2362" s="12"/>
      <c r="R2362" s="20"/>
      <c r="S2362" s="12"/>
      <c r="T2362" s="12"/>
      <c r="U2362" s="10" t="str">
        <f>HYPERLINK("https://pbs.twimg.com/profile_images/518057385517408256/GIcPzdgr.jpeg","View")</f>
        <v>View</v>
      </c>
    </row>
    <row r="2363" spans="1:21" ht="20.399999999999999">
      <c r="A2363" s="6">
        <v>43435.982118055559</v>
      </c>
      <c r="B2363" s="7" t="str">
        <f>HYPERLINK("https://twitter.com/sevecastell","@sevecastell")</f>
        <v>@sevecastell</v>
      </c>
      <c r="C2363" s="8" t="s">
        <v>8050</v>
      </c>
      <c r="D2363" s="9" t="s">
        <v>8051</v>
      </c>
      <c r="E2363" s="10" t="str">
        <f>HYPERLINK("https://twitter.com/sevecastell/status/1068996728353898496","1068996728353898496")</f>
        <v>1068996728353898496</v>
      </c>
      <c r="F2363" s="11" t="s">
        <v>8052</v>
      </c>
      <c r="G2363" s="12"/>
      <c r="H2363" s="12"/>
      <c r="I2363" s="13">
        <v>72</v>
      </c>
      <c r="J2363" s="13">
        <v>45</v>
      </c>
      <c r="K2363" s="14" t="str">
        <f t="shared" ref="K2363:K2364" si="425">HYPERLINK("http://twitter.com/download/iphone","Twitter for iPhone")</f>
        <v>Twitter for iPhone</v>
      </c>
      <c r="L2363" s="13">
        <v>3263</v>
      </c>
      <c r="M2363" s="13">
        <v>4839</v>
      </c>
      <c r="N2363" s="13">
        <v>30</v>
      </c>
      <c r="O2363" s="15"/>
      <c r="P2363" s="6">
        <v>42294.979074074072</v>
      </c>
      <c r="Q2363" s="16" t="s">
        <v>8053</v>
      </c>
      <c r="R2363" s="17" t="s">
        <v>8054</v>
      </c>
      <c r="S2363" s="12"/>
      <c r="T2363" s="12"/>
      <c r="U2363" s="10" t="str">
        <f>HYPERLINK("https://pbs.twimg.com/profile_images/1070110322747469824/IXKiq6JP.jpg","View")</f>
        <v>View</v>
      </c>
    </row>
    <row r="2364" spans="1:21" ht="13.2">
      <c r="A2364" s="6">
        <v>43435.975381944445</v>
      </c>
      <c r="B2364" s="7" t="str">
        <f>HYPERLINK("https://twitter.com/jvplc396","@jvplc396")</f>
        <v>@jvplc396</v>
      </c>
      <c r="C2364" s="8" t="s">
        <v>2989</v>
      </c>
      <c r="D2364" s="9" t="s">
        <v>8055</v>
      </c>
      <c r="E2364" s="10" t="str">
        <f>HYPERLINK("https://twitter.com/jvplc396/status/1068994286677606402","1068994286677606402")</f>
        <v>1068994286677606402</v>
      </c>
      <c r="F2364" s="12"/>
      <c r="G2364" s="11" t="s">
        <v>8056</v>
      </c>
      <c r="H2364" s="12"/>
      <c r="I2364" s="13">
        <v>0</v>
      </c>
      <c r="J2364" s="13">
        <v>0</v>
      </c>
      <c r="K2364" s="14" t="str">
        <f t="shared" si="425"/>
        <v>Twitter for iPhone</v>
      </c>
      <c r="L2364" s="13">
        <v>257</v>
      </c>
      <c r="M2364" s="13">
        <v>84</v>
      </c>
      <c r="N2364" s="13">
        <v>1</v>
      </c>
      <c r="O2364" s="15"/>
      <c r="P2364" s="6">
        <v>40639.83902777778</v>
      </c>
      <c r="Q2364" s="16" t="s">
        <v>389</v>
      </c>
      <c r="R2364" s="17" t="s">
        <v>8057</v>
      </c>
      <c r="S2364" s="12"/>
      <c r="T2364" s="12"/>
      <c r="U2364" s="10" t="str">
        <f>HYPERLINK("https://pbs.twimg.com/profile_images/1064256663316766720/shI2bxD1.jpg","View")</f>
        <v>View</v>
      </c>
    </row>
    <row r="2365" spans="1:21" ht="40.799999999999997">
      <c r="A2365" s="6">
        <v>43435.970706018517</v>
      </c>
      <c r="B2365" s="7" t="str">
        <f>HYPERLINK("https://twitter.com/regaliza2003","@regaliza2003")</f>
        <v>@regaliza2003</v>
      </c>
      <c r="C2365" s="8" t="s">
        <v>8058</v>
      </c>
      <c r="D2365" s="9" t="s">
        <v>8059</v>
      </c>
      <c r="E2365" s="10" t="str">
        <f>HYPERLINK("https://twitter.com/regaliza2003/status/1068992593244143616","1068992593244143616")</f>
        <v>1068992593244143616</v>
      </c>
      <c r="F2365" s="11" t="s">
        <v>4962</v>
      </c>
      <c r="G2365" s="12"/>
      <c r="H2365" s="12"/>
      <c r="I2365" s="13">
        <v>0</v>
      </c>
      <c r="J2365" s="13">
        <v>0</v>
      </c>
      <c r="K2365" s="14" t="str">
        <f>HYPERLINK("http://twitter.com","Twitter Web Client")</f>
        <v>Twitter Web Client</v>
      </c>
      <c r="L2365" s="13">
        <v>3558</v>
      </c>
      <c r="M2365" s="13">
        <v>2941</v>
      </c>
      <c r="N2365" s="13">
        <v>135</v>
      </c>
      <c r="O2365" s="15"/>
      <c r="P2365" s="6">
        <v>40591.607037037036</v>
      </c>
      <c r="Q2365" s="16" t="s">
        <v>8060</v>
      </c>
      <c r="R2365" s="17" t="s">
        <v>8061</v>
      </c>
      <c r="S2365" s="12"/>
      <c r="T2365" s="12"/>
      <c r="U2365" s="10" t="str">
        <f>HYPERLINK("https://pbs.twimg.com/profile_images/1022750643646287873/fXtdvgih.jpg","View")</f>
        <v>View</v>
      </c>
    </row>
    <row r="2366" spans="1:21" ht="30.6">
      <c r="A2366" s="6">
        <v>43435.968055555553</v>
      </c>
      <c r="B2366" s="7" t="str">
        <f>HYPERLINK("https://twitter.com/ElHuffPost","@ElHuffPost")</f>
        <v>@ElHuffPost</v>
      </c>
      <c r="C2366" s="8" t="s">
        <v>106</v>
      </c>
      <c r="D2366" s="9" t="s">
        <v>8062</v>
      </c>
      <c r="E2366" s="10" t="str">
        <f>HYPERLINK("https://twitter.com/ElHuffPost/status/1068991630621859840","1068991630621859840")</f>
        <v>1068991630621859840</v>
      </c>
      <c r="F2366" s="11" t="s">
        <v>8063</v>
      </c>
      <c r="G2366" s="12"/>
      <c r="H2366" s="12"/>
      <c r="I2366" s="13">
        <v>2</v>
      </c>
      <c r="J2366" s="13">
        <v>1</v>
      </c>
      <c r="K2366" s="14" t="str">
        <f>HYPERLINK("https://about.twitter.com/products/tweetdeck","TweetDeck")</f>
        <v>TweetDeck</v>
      </c>
      <c r="L2366" s="13">
        <v>431182</v>
      </c>
      <c r="M2366" s="13">
        <v>1551</v>
      </c>
      <c r="N2366" s="13">
        <v>8193</v>
      </c>
      <c r="O2366" s="19" t="s">
        <v>44</v>
      </c>
      <c r="P2366" s="6">
        <v>40785.027118055557</v>
      </c>
      <c r="Q2366" s="16" t="s">
        <v>109</v>
      </c>
      <c r="R2366" s="17" t="s">
        <v>110</v>
      </c>
      <c r="S2366" s="11" t="s">
        <v>111</v>
      </c>
      <c r="T2366" s="12"/>
      <c r="U2366" s="10" t="str">
        <f>HYPERLINK("https://pbs.twimg.com/profile_images/921140803422089217/ETOEUOAx.jpg","View")</f>
        <v>View</v>
      </c>
    </row>
    <row r="2367" spans="1:21" ht="40.799999999999997">
      <c r="A2367" s="6">
        <v>43435.963564814811</v>
      </c>
      <c r="B2367" s="7" t="str">
        <f>HYPERLINK("https://twitter.com/J_L_Alonso","@J_L_Alonso")</f>
        <v>@J_L_Alonso</v>
      </c>
      <c r="C2367" s="8" t="s">
        <v>8064</v>
      </c>
      <c r="D2367" s="9" t="s">
        <v>8065</v>
      </c>
      <c r="E2367" s="10" t="str">
        <f>HYPERLINK("https://twitter.com/J_L_Alonso/status/1068990004670664710","1068990004670664710")</f>
        <v>1068990004670664710</v>
      </c>
      <c r="F2367" s="12"/>
      <c r="G2367" s="12"/>
      <c r="H2367" s="12"/>
      <c r="I2367" s="13">
        <v>0</v>
      </c>
      <c r="J2367" s="13">
        <v>1</v>
      </c>
      <c r="K2367" s="14" t="str">
        <f t="shared" ref="K2367:K2368" si="426">HYPERLINK("http://twitter.com","Twitter Web Client")</f>
        <v>Twitter Web Client</v>
      </c>
      <c r="L2367" s="13">
        <v>330</v>
      </c>
      <c r="M2367" s="13">
        <v>564</v>
      </c>
      <c r="N2367" s="13">
        <v>1</v>
      </c>
      <c r="O2367" s="15"/>
      <c r="P2367" s="6">
        <v>43343.506770833337</v>
      </c>
      <c r="Q2367" s="12"/>
      <c r="R2367" s="17" t="s">
        <v>8066</v>
      </c>
      <c r="S2367" s="12"/>
      <c r="T2367" s="12"/>
      <c r="U2367" s="10" t="str">
        <f>HYPERLINK("https://pbs.twimg.com/profile_images/1055230265482797057/Oj9OPG8k.jpg","View")</f>
        <v>View</v>
      </c>
    </row>
    <row r="2368" spans="1:21" ht="30.6">
      <c r="A2368" s="6">
        <v>43435.96261574074</v>
      </c>
      <c r="B2368" s="7" t="str">
        <f>HYPERLINK("https://twitter.com/talkesi","@talkesi")</f>
        <v>@talkesi</v>
      </c>
      <c r="C2368" s="8" t="s">
        <v>2105</v>
      </c>
      <c r="D2368" s="9" t="s">
        <v>8067</v>
      </c>
      <c r="E2368" s="10" t="str">
        <f>HYPERLINK("https://twitter.com/talkesi/status/1068989660179951616","1068989660179951616")</f>
        <v>1068989660179951616</v>
      </c>
      <c r="F2368" s="11" t="s">
        <v>8068</v>
      </c>
      <c r="G2368" s="12"/>
      <c r="H2368" s="12"/>
      <c r="I2368" s="13">
        <v>0</v>
      </c>
      <c r="J2368" s="13">
        <v>0</v>
      </c>
      <c r="K2368" s="14" t="str">
        <f t="shared" si="426"/>
        <v>Twitter Web Client</v>
      </c>
      <c r="L2368" s="13">
        <v>93</v>
      </c>
      <c r="M2368" s="13">
        <v>595</v>
      </c>
      <c r="N2368" s="13">
        <v>3</v>
      </c>
      <c r="O2368" s="15"/>
      <c r="P2368" s="6">
        <v>40883.692187499997</v>
      </c>
      <c r="Q2368" s="12"/>
      <c r="R2368" s="17" t="s">
        <v>2106</v>
      </c>
      <c r="S2368" s="12"/>
      <c r="T2368" s="12"/>
      <c r="U2368" s="10" t="str">
        <f>HYPERLINK("https://pbs.twimg.com/profile_images/1692778440/a.jpg","View")</f>
        <v>View</v>
      </c>
    </row>
    <row r="2369" spans="1:21" ht="30.6">
      <c r="A2369" s="6">
        <v>43435.958032407405</v>
      </c>
      <c r="B2369" s="7" t="str">
        <f>HYPERLINK("https://twitter.com/_alasombra","@_alasombra")</f>
        <v>@_alasombra</v>
      </c>
      <c r="C2369" s="8" t="s">
        <v>8069</v>
      </c>
      <c r="D2369" s="9" t="s">
        <v>8070</v>
      </c>
      <c r="E2369" s="10" t="str">
        <f>HYPERLINK("https://twitter.com/_alasombra/status/1068988001097867264","1068988001097867264")</f>
        <v>1068988001097867264</v>
      </c>
      <c r="F2369" s="11" t="s">
        <v>8071</v>
      </c>
      <c r="G2369" s="12"/>
      <c r="H2369" s="12"/>
      <c r="I2369" s="13">
        <v>0</v>
      </c>
      <c r="J2369" s="13">
        <v>0</v>
      </c>
      <c r="K2369" s="14" t="str">
        <f>HYPERLINK("http://twitter.com/download/android","Twitter for Android")</f>
        <v>Twitter for Android</v>
      </c>
      <c r="L2369" s="13">
        <v>285</v>
      </c>
      <c r="M2369" s="13">
        <v>506</v>
      </c>
      <c r="N2369" s="13">
        <v>6</v>
      </c>
      <c r="O2369" s="15"/>
      <c r="P2369" s="6">
        <v>40943.929930555554</v>
      </c>
      <c r="Q2369" s="12"/>
      <c r="R2369" s="17" t="s">
        <v>8072</v>
      </c>
      <c r="S2369" s="12"/>
      <c r="T2369" s="12"/>
      <c r="U2369" s="10" t="str">
        <f>HYPERLINK("https://pbs.twimg.com/profile_images/967043243660730369/LBAIsJXd.jpg","View")</f>
        <v>View</v>
      </c>
    </row>
    <row r="2370" spans="1:21" ht="13.2">
      <c r="A2370" s="6">
        <v>43435.95584490741</v>
      </c>
      <c r="B2370" s="7" t="str">
        <f>HYPERLINK("https://twitter.com/verbolsacom","@verbolsacom")</f>
        <v>@verbolsacom</v>
      </c>
      <c r="C2370" s="8" t="s">
        <v>8075</v>
      </c>
      <c r="D2370" s="9" t="s">
        <v>8076</v>
      </c>
      <c r="E2370" s="10" t="str">
        <f>HYPERLINK("https://twitter.com/verbolsacom/status/1068987206432432128","1068987206432432128")</f>
        <v>1068987206432432128</v>
      </c>
      <c r="F2370" s="11" t="s">
        <v>8077</v>
      </c>
      <c r="G2370" s="12"/>
      <c r="H2370" s="12"/>
      <c r="I2370" s="13">
        <v>0</v>
      </c>
      <c r="J2370" s="13">
        <v>0</v>
      </c>
      <c r="K2370" s="14" t="str">
        <f>HYPERLINK("https://www.google.com/","Google")</f>
        <v>Google</v>
      </c>
      <c r="L2370" s="13">
        <v>24</v>
      </c>
      <c r="M2370" s="13">
        <v>37</v>
      </c>
      <c r="N2370" s="13">
        <v>3</v>
      </c>
      <c r="O2370" s="15"/>
      <c r="P2370" s="6">
        <v>39724.398900462962</v>
      </c>
      <c r="Q2370" s="16" t="s">
        <v>30</v>
      </c>
      <c r="R2370" s="17" t="s">
        <v>8078</v>
      </c>
      <c r="S2370" s="11" t="s">
        <v>8079</v>
      </c>
      <c r="T2370" s="12"/>
      <c r="U2370" s="10" t="str">
        <f>HYPERLINK("https://pbs.twimg.com/profile_images/668410529371856896/qG5-h66G.png","View")</f>
        <v>View</v>
      </c>
    </row>
    <row r="2371" spans="1:21" ht="30.6">
      <c r="A2371" s="6">
        <v>43435.95449074074</v>
      </c>
      <c r="B2371" s="7" t="str">
        <f>HYPERLINK("https://twitter.com/sisco_garcia","@sisco_garcia")</f>
        <v>@sisco_garcia</v>
      </c>
      <c r="C2371" s="8" t="s">
        <v>8080</v>
      </c>
      <c r="D2371" s="9" t="s">
        <v>8081</v>
      </c>
      <c r="E2371" s="10" t="str">
        <f>HYPERLINK("https://twitter.com/sisco_garcia/status/1068986717787557889","1068986717787557889")</f>
        <v>1068986717787557889</v>
      </c>
      <c r="F2371" s="11" t="s">
        <v>7860</v>
      </c>
      <c r="G2371" s="11" t="s">
        <v>7862</v>
      </c>
      <c r="H2371" s="12"/>
      <c r="I2371" s="13">
        <v>0</v>
      </c>
      <c r="J2371" s="13">
        <v>2</v>
      </c>
      <c r="K2371" s="14" t="str">
        <f>HYPERLINK("http://twitter.com/download/android","Twitter for Android")</f>
        <v>Twitter for Android</v>
      </c>
      <c r="L2371" s="13">
        <v>1076</v>
      </c>
      <c r="M2371" s="13">
        <v>1038</v>
      </c>
      <c r="N2371" s="13">
        <v>85</v>
      </c>
      <c r="O2371" s="15"/>
      <c r="P2371" s="6">
        <v>41137.480451388888</v>
      </c>
      <c r="Q2371" s="12"/>
      <c r="R2371" s="17" t="s">
        <v>8082</v>
      </c>
      <c r="S2371" s="11" t="s">
        <v>8083</v>
      </c>
      <c r="T2371" s="12"/>
      <c r="U2371" s="10" t="str">
        <f>HYPERLINK("https://pbs.twimg.com/profile_images/1048535514473799680/-DOFXMGZ.jpg","View")</f>
        <v>View</v>
      </c>
    </row>
    <row r="2372" spans="1:21" ht="30.6">
      <c r="A2372" s="6">
        <v>43435.954293981486</v>
      </c>
      <c r="B2372" s="7" t="str">
        <f>HYPERLINK("https://twitter.com/ElHuffPost","@ElHuffPost")</f>
        <v>@ElHuffPost</v>
      </c>
      <c r="C2372" s="8" t="s">
        <v>106</v>
      </c>
      <c r="D2372" s="9" t="s">
        <v>7838</v>
      </c>
      <c r="E2372" s="10" t="str">
        <f>HYPERLINK("https://twitter.com/ElHuffPost/status/1068986644261425152","1068986644261425152")</f>
        <v>1068986644261425152</v>
      </c>
      <c r="F2372" s="11" t="s">
        <v>8063</v>
      </c>
      <c r="G2372" s="12"/>
      <c r="H2372" s="12"/>
      <c r="I2372" s="13">
        <v>2</v>
      </c>
      <c r="J2372" s="13">
        <v>1</v>
      </c>
      <c r="K2372" s="14" t="str">
        <f>HYPERLINK("https://about.twitter.com/products/tweetdeck","TweetDeck")</f>
        <v>TweetDeck</v>
      </c>
      <c r="L2372" s="13">
        <v>431182</v>
      </c>
      <c r="M2372" s="13">
        <v>1551</v>
      </c>
      <c r="N2372" s="13">
        <v>8193</v>
      </c>
      <c r="O2372" s="19" t="s">
        <v>44</v>
      </c>
      <c r="P2372" s="6">
        <v>40785.027118055557</v>
      </c>
      <c r="Q2372" s="16" t="s">
        <v>109</v>
      </c>
      <c r="R2372" s="17" t="s">
        <v>110</v>
      </c>
      <c r="S2372" s="11" t="s">
        <v>111</v>
      </c>
      <c r="T2372" s="12"/>
      <c r="U2372" s="10" t="str">
        <f>HYPERLINK("https://pbs.twimg.com/profile_images/921140803422089217/ETOEUOAx.jpg","View")</f>
        <v>View</v>
      </c>
    </row>
    <row r="2373" spans="1:21" ht="40.799999999999997">
      <c r="A2373" s="6">
        <v>43435.952083333337</v>
      </c>
      <c r="B2373" s="7" t="str">
        <f>HYPERLINK("https://twitter.com/ctxt_es","@ctxt_es")</f>
        <v>@ctxt_es</v>
      </c>
      <c r="C2373" s="8" t="s">
        <v>8084</v>
      </c>
      <c r="D2373" s="9" t="s">
        <v>8085</v>
      </c>
      <c r="E2373" s="10" t="str">
        <f>HYPERLINK("https://twitter.com/ctxt_es/status/1068985842583126021","1068985842583126021")</f>
        <v>1068985842583126021</v>
      </c>
      <c r="F2373" s="11" t="s">
        <v>8068</v>
      </c>
      <c r="G2373" s="12"/>
      <c r="H2373" s="12"/>
      <c r="I2373" s="13">
        <v>47</v>
      </c>
      <c r="J2373" s="13">
        <v>53</v>
      </c>
      <c r="K2373" s="14" t="str">
        <f>HYPERLINK("https://ads-api.twitter.com","Twitter Ads Composer")</f>
        <v>Twitter Ads Composer</v>
      </c>
      <c r="L2373" s="13">
        <v>115985</v>
      </c>
      <c r="M2373" s="13">
        <v>4320</v>
      </c>
      <c r="N2373" s="13">
        <v>2475</v>
      </c>
      <c r="O2373" s="15"/>
      <c r="P2373" s="6">
        <v>41981.574641203704</v>
      </c>
      <c r="Q2373" s="16" t="s">
        <v>232</v>
      </c>
      <c r="R2373" s="17" t="s">
        <v>8086</v>
      </c>
      <c r="S2373" s="11" t="s">
        <v>8087</v>
      </c>
      <c r="T2373" s="12"/>
      <c r="U2373" s="10" t="str">
        <f>HYPERLINK("https://pbs.twimg.com/profile_images/1062014494296150023/j5taTHQ1.jpg","View")</f>
        <v>View</v>
      </c>
    </row>
    <row r="2374" spans="1:21" ht="51">
      <c r="A2374" s="6">
        <v>43435.951724537037</v>
      </c>
      <c r="B2374" s="7" t="str">
        <f>HYPERLINK("https://twitter.com/ikaitor","@ikaitor")</f>
        <v>@ikaitor</v>
      </c>
      <c r="C2374" s="8" t="s">
        <v>1134</v>
      </c>
      <c r="D2374" s="9" t="s">
        <v>8088</v>
      </c>
      <c r="E2374" s="10" t="str">
        <f>HYPERLINK("https://twitter.com/ikaitor/status/1068985711376982017","1068985711376982017")</f>
        <v>1068985711376982017</v>
      </c>
      <c r="F2374" s="11" t="s">
        <v>7836</v>
      </c>
      <c r="G2374" s="11" t="s">
        <v>7717</v>
      </c>
      <c r="H2374" s="12"/>
      <c r="I2374" s="13">
        <v>130</v>
      </c>
      <c r="J2374" s="13">
        <v>324</v>
      </c>
      <c r="K2374" s="14" t="str">
        <f>HYPERLINK("http://twitter.com/download/android","Twitter for Android")</f>
        <v>Twitter for Android</v>
      </c>
      <c r="L2374" s="13">
        <v>17212</v>
      </c>
      <c r="M2374" s="13">
        <v>1142</v>
      </c>
      <c r="N2374" s="13">
        <v>624</v>
      </c>
      <c r="O2374" s="15"/>
      <c r="P2374" s="6">
        <v>39813.739421296297</v>
      </c>
      <c r="Q2374" s="16" t="s">
        <v>191</v>
      </c>
      <c r="R2374" s="17" t="s">
        <v>1136</v>
      </c>
      <c r="S2374" s="11" t="s">
        <v>1137</v>
      </c>
      <c r="T2374" s="12"/>
      <c r="U2374" s="10" t="str">
        <f>HYPERLINK("https://pbs.twimg.com/profile_images/923654475360997377/_9yNRShJ.jpg","View")</f>
        <v>View</v>
      </c>
    </row>
    <row r="2375" spans="1:21" ht="30.6">
      <c r="A2375" s="6">
        <v>43435.946886574078</v>
      </c>
      <c r="B2375" s="7" t="str">
        <f>HYPERLINK("https://twitter.com/campeontriplete","@campeontriplete")</f>
        <v>@campeontriplete</v>
      </c>
      <c r="C2375" s="8" t="s">
        <v>8089</v>
      </c>
      <c r="D2375" s="9" t="s">
        <v>8090</v>
      </c>
      <c r="E2375" s="10" t="str">
        <f>HYPERLINK("https://twitter.com/campeontriplete/status/1068983958858272768","1068983958858272768")</f>
        <v>1068983958858272768</v>
      </c>
      <c r="F2375" s="16" t="s">
        <v>8091</v>
      </c>
      <c r="G2375" s="11" t="s">
        <v>8092</v>
      </c>
      <c r="H2375" s="12"/>
      <c r="I2375" s="13">
        <v>0</v>
      </c>
      <c r="J2375" s="13">
        <v>0</v>
      </c>
      <c r="K2375" s="14" t="str">
        <f>HYPERLINK("http://twitter.com/download/iphone","Twitter for iPhone")</f>
        <v>Twitter for iPhone</v>
      </c>
      <c r="L2375" s="13">
        <v>323</v>
      </c>
      <c r="M2375" s="13">
        <v>171</v>
      </c>
      <c r="N2375" s="13">
        <v>5</v>
      </c>
      <c r="O2375" s="15"/>
      <c r="P2375" s="6">
        <v>42720.929224537038</v>
      </c>
      <c r="Q2375" s="12"/>
      <c r="R2375" s="17" t="s">
        <v>8093</v>
      </c>
      <c r="S2375" s="12"/>
      <c r="T2375" s="12"/>
      <c r="U2375" s="10" t="str">
        <f>HYPERLINK("https://pbs.twimg.com/profile_images/980158352620703744/LfTqeAhf.jpg","View")</f>
        <v>View</v>
      </c>
    </row>
    <row r="2376" spans="1:21" ht="40.799999999999997">
      <c r="A2376" s="6">
        <v>43435.946284722224</v>
      </c>
      <c r="B2376" s="7" t="str">
        <f>HYPERLINK("https://twitter.com/romenauer","@romenauer")</f>
        <v>@romenauer</v>
      </c>
      <c r="C2376" s="8" t="s">
        <v>7591</v>
      </c>
      <c r="D2376" s="9" t="s">
        <v>8094</v>
      </c>
      <c r="E2376" s="10" t="str">
        <f>HYPERLINK("https://twitter.com/romenauer/status/1068983741400449034","1068983741400449034")</f>
        <v>1068983741400449034</v>
      </c>
      <c r="F2376" s="12"/>
      <c r="G2376" s="12"/>
      <c r="H2376" s="12"/>
      <c r="I2376" s="13">
        <v>0</v>
      </c>
      <c r="J2376" s="13">
        <v>0</v>
      </c>
      <c r="K2376" s="14" t="str">
        <f t="shared" ref="K2376:K2377" si="427">HYPERLINK("http://twitter.com/download/android","Twitter for Android")</f>
        <v>Twitter for Android</v>
      </c>
      <c r="L2376" s="13">
        <v>1579</v>
      </c>
      <c r="M2376" s="13">
        <v>739</v>
      </c>
      <c r="N2376" s="13">
        <v>130</v>
      </c>
      <c r="O2376" s="15"/>
      <c r="P2376" s="6">
        <v>39758.986990740741</v>
      </c>
      <c r="Q2376" s="16" t="s">
        <v>191</v>
      </c>
      <c r="R2376" s="17" t="s">
        <v>8095</v>
      </c>
      <c r="S2376" s="11" t="s">
        <v>8096</v>
      </c>
      <c r="T2376" s="12"/>
      <c r="U2376" s="10" t="str">
        <f>HYPERLINK("https://pbs.twimg.com/profile_images/1042362101896032257/s6JofgwG.jpg","View")</f>
        <v>View</v>
      </c>
    </row>
    <row r="2377" spans="1:21" ht="30.6">
      <c r="A2377" s="6">
        <v>43435.946250000001</v>
      </c>
      <c r="B2377" s="7" t="str">
        <f>HYPERLINK("https://twitter.com/sisco_garcia","@sisco_garcia")</f>
        <v>@sisco_garcia</v>
      </c>
      <c r="C2377" s="8" t="s">
        <v>8080</v>
      </c>
      <c r="D2377" s="9" t="s">
        <v>8097</v>
      </c>
      <c r="E2377" s="10" t="str">
        <f>HYPERLINK("https://twitter.com/sisco_garcia/status/1068983728079286273","1068983728079286273")</f>
        <v>1068983728079286273</v>
      </c>
      <c r="F2377" s="11" t="s">
        <v>7860</v>
      </c>
      <c r="G2377" s="11" t="s">
        <v>7862</v>
      </c>
      <c r="H2377" s="12"/>
      <c r="I2377" s="13">
        <v>1</v>
      </c>
      <c r="J2377" s="13">
        <v>6</v>
      </c>
      <c r="K2377" s="14" t="str">
        <f t="shared" si="427"/>
        <v>Twitter for Android</v>
      </c>
      <c r="L2377" s="13">
        <v>1076</v>
      </c>
      <c r="M2377" s="13">
        <v>1038</v>
      </c>
      <c r="N2377" s="13">
        <v>85</v>
      </c>
      <c r="O2377" s="15"/>
      <c r="P2377" s="6">
        <v>41137.480451388888</v>
      </c>
      <c r="Q2377" s="12"/>
      <c r="R2377" s="17" t="s">
        <v>8082</v>
      </c>
      <c r="S2377" s="11" t="s">
        <v>8083</v>
      </c>
      <c r="T2377" s="12"/>
      <c r="U2377" s="10" t="str">
        <f>HYPERLINK("https://pbs.twimg.com/profile_images/1048535514473799680/-DOFXMGZ.jpg","View")</f>
        <v>View</v>
      </c>
    </row>
    <row r="2378" spans="1:21" ht="40.799999999999997">
      <c r="A2378" s="6">
        <v>43435.94054398148</v>
      </c>
      <c r="B2378" s="7" t="str">
        <f>HYPERLINK("https://twitter.com/fer2365","@fer2365")</f>
        <v>@fer2365</v>
      </c>
      <c r="C2378" s="8" t="s">
        <v>8098</v>
      </c>
      <c r="D2378" s="9" t="s">
        <v>8099</v>
      </c>
      <c r="E2378" s="10" t="str">
        <f>HYPERLINK("https://twitter.com/fer2365/status/1068981661017284608","1068981661017284608")</f>
        <v>1068981661017284608</v>
      </c>
      <c r="F2378" s="12"/>
      <c r="G2378" s="12"/>
      <c r="H2378" s="12"/>
      <c r="I2378" s="13">
        <v>1</v>
      </c>
      <c r="J2378" s="13">
        <v>3</v>
      </c>
      <c r="K2378" s="14" t="str">
        <f>HYPERLINK("http://twitter.com","Twitter Web Client")</f>
        <v>Twitter Web Client</v>
      </c>
      <c r="L2378" s="13">
        <v>1807</v>
      </c>
      <c r="M2378" s="13">
        <v>1582</v>
      </c>
      <c r="N2378" s="13">
        <v>15</v>
      </c>
      <c r="O2378" s="15"/>
      <c r="P2378" s="6">
        <v>40246.72520833333</v>
      </c>
      <c r="Q2378" s="12"/>
      <c r="R2378" s="17" t="s">
        <v>8100</v>
      </c>
      <c r="S2378" s="12"/>
      <c r="T2378" s="12"/>
      <c r="U2378" s="10" t="str">
        <f>HYPERLINK("https://pbs.twimg.com/profile_images/1052635885332762625/Cne5ZWEm.jpg","View")</f>
        <v>View</v>
      </c>
    </row>
    <row r="2379" spans="1:21" ht="20.399999999999999">
      <c r="A2379" s="6">
        <v>43435.94049768518</v>
      </c>
      <c r="B2379" s="7" t="str">
        <f>HYPERLINK("https://twitter.com/PabloMM","@PabloMM")</f>
        <v>@PabloMM</v>
      </c>
      <c r="C2379" s="8" t="s">
        <v>8101</v>
      </c>
      <c r="D2379" s="9" t="s">
        <v>8102</v>
      </c>
      <c r="E2379" s="10" t="str">
        <f>HYPERLINK("https://twitter.com/PabloMM/status/1068981643199881223","1068981643199881223")</f>
        <v>1068981643199881223</v>
      </c>
      <c r="F2379" s="12"/>
      <c r="G2379" s="11" t="s">
        <v>7979</v>
      </c>
      <c r="H2379" s="12"/>
      <c r="I2379" s="13">
        <v>390</v>
      </c>
      <c r="J2379" s="13">
        <v>1045</v>
      </c>
      <c r="K2379" s="14" t="str">
        <f>HYPERLINK("http://twitter.com/download/iphone","Twitter for iPhone")</f>
        <v>Twitter for iPhone</v>
      </c>
      <c r="L2379" s="13">
        <v>81386</v>
      </c>
      <c r="M2379" s="13">
        <v>356</v>
      </c>
      <c r="N2379" s="13">
        <v>817</v>
      </c>
      <c r="O2379" s="15"/>
      <c r="P2379" s="6">
        <v>39832.060416666667</v>
      </c>
      <c r="Q2379" s="16" t="s">
        <v>8103</v>
      </c>
      <c r="R2379" s="17" t="s">
        <v>8104</v>
      </c>
      <c r="S2379" s="11" t="s">
        <v>8106</v>
      </c>
      <c r="T2379" s="12"/>
      <c r="U2379" s="10" t="str">
        <f>HYPERLINK("https://pbs.twimg.com/profile_images/874642070916517888/1-airZce.jpg","View")</f>
        <v>View</v>
      </c>
    </row>
    <row r="2380" spans="1:21" ht="30.6">
      <c r="A2380" s="6">
        <v>43435.93751157407</v>
      </c>
      <c r="B2380" s="7" t="str">
        <f>HYPERLINK("https://twitter.com/GaliciaMundiari","@GaliciaMundiari")</f>
        <v>@GaliciaMundiari</v>
      </c>
      <c r="C2380" s="8" t="s">
        <v>565</v>
      </c>
      <c r="D2380" s="9" t="s">
        <v>8109</v>
      </c>
      <c r="E2380" s="10" t="str">
        <f>HYPERLINK("https://twitter.com/GaliciaMundiari/status/1068980561614655488","1068980561614655488")</f>
        <v>1068980561614655488</v>
      </c>
      <c r="F2380" s="11" t="s">
        <v>8110</v>
      </c>
      <c r="G2380" s="12"/>
      <c r="H2380" s="12"/>
      <c r="I2380" s="13">
        <v>0</v>
      </c>
      <c r="J2380" s="13">
        <v>0</v>
      </c>
      <c r="K2380" s="14" t="str">
        <f>HYPERLINK("https://about.twitter.com/products/tweetdeck","TweetDeck")</f>
        <v>TweetDeck</v>
      </c>
      <c r="L2380" s="13">
        <v>731</v>
      </c>
      <c r="M2380" s="13">
        <v>1487</v>
      </c>
      <c r="N2380" s="13">
        <v>31</v>
      </c>
      <c r="O2380" s="15"/>
      <c r="P2380" s="6">
        <v>41311.572812500002</v>
      </c>
      <c r="Q2380" s="16" t="s">
        <v>568</v>
      </c>
      <c r="R2380" s="17" t="s">
        <v>569</v>
      </c>
      <c r="S2380" s="11" t="s">
        <v>570</v>
      </c>
      <c r="T2380" s="12"/>
      <c r="U2380" s="10" t="str">
        <f>HYPERLINK("https://pbs.twimg.com/profile_images/983440522390929408/Q4V9I05R.jpg","View")</f>
        <v>View</v>
      </c>
    </row>
    <row r="2381" spans="1:21" ht="81.599999999999994">
      <c r="A2381" s="6">
        <v>43435.936874999999</v>
      </c>
      <c r="B2381" s="7" t="str">
        <f>HYPERLINK("https://twitter.com/XoseMariaBello","@XoseMariaBello")</f>
        <v>@XoseMariaBello</v>
      </c>
      <c r="C2381" s="8" t="s">
        <v>8111</v>
      </c>
      <c r="D2381" s="9" t="s">
        <v>8112</v>
      </c>
      <c r="E2381" s="10" t="str">
        <f>HYPERLINK("https://twitter.com/XoseMariaBello/status/1068980331724845056","1068980331724845056")</f>
        <v>1068980331724845056</v>
      </c>
      <c r="F2381" s="16" t="s">
        <v>8113</v>
      </c>
      <c r="G2381" s="12"/>
      <c r="H2381" s="12"/>
      <c r="I2381" s="13">
        <v>0</v>
      </c>
      <c r="J2381" s="13">
        <v>0</v>
      </c>
      <c r="K2381" s="14" t="str">
        <f>HYPERLINK("http://twitter.com/download/android","Twitter for Android")</f>
        <v>Twitter for Android</v>
      </c>
      <c r="L2381" s="13">
        <v>257</v>
      </c>
      <c r="M2381" s="13">
        <v>316</v>
      </c>
      <c r="N2381" s="13">
        <v>18</v>
      </c>
      <c r="O2381" s="15"/>
      <c r="P2381" s="6">
        <v>40637.968888888892</v>
      </c>
      <c r="Q2381" s="12"/>
      <c r="R2381" s="20"/>
      <c r="S2381" s="11" t="s">
        <v>8114</v>
      </c>
      <c r="T2381" s="12"/>
      <c r="U2381" s="10" t="str">
        <f>HYPERLINK("https://pbs.twimg.com/profile_images/967889626827493376/N8uAeFmI.jpg","View")</f>
        <v>View</v>
      </c>
    </row>
    <row r="2382" spans="1:21" ht="40.799999999999997">
      <c r="A2382" s="6">
        <v>43435.934085648143</v>
      </c>
      <c r="B2382" s="7" t="str">
        <f>HYPERLINK("https://twitter.com/mariiagh_","@mariiagh_")</f>
        <v>@mariiagh_</v>
      </c>
      <c r="C2382" s="8" t="s">
        <v>8115</v>
      </c>
      <c r="D2382" s="9" t="s">
        <v>8116</v>
      </c>
      <c r="E2382" s="10" t="str">
        <f>HYPERLINK("https://twitter.com/mariiagh_/status/1068979322399195137","1068979322399195137")</f>
        <v>1068979322399195137</v>
      </c>
      <c r="F2382" s="11" t="s">
        <v>8117</v>
      </c>
      <c r="G2382" s="12"/>
      <c r="H2382" s="12"/>
      <c r="I2382" s="13">
        <v>0</v>
      </c>
      <c r="J2382" s="13">
        <v>0</v>
      </c>
      <c r="K2382" s="14" t="str">
        <f t="shared" ref="K2382:K2383" si="428">HYPERLINK("http://twitter.com","Twitter Web Client")</f>
        <v>Twitter Web Client</v>
      </c>
      <c r="L2382" s="13">
        <v>169</v>
      </c>
      <c r="M2382" s="13">
        <v>1120</v>
      </c>
      <c r="N2382" s="13">
        <v>1</v>
      </c>
      <c r="O2382" s="15"/>
      <c r="P2382" s="6">
        <v>41465.76253472222</v>
      </c>
      <c r="Q2382" s="16" t="s">
        <v>48</v>
      </c>
      <c r="R2382" s="17" t="s">
        <v>8118</v>
      </c>
      <c r="S2382" s="12"/>
      <c r="T2382" s="12"/>
      <c r="U2382" s="10" t="str">
        <f>HYPERLINK("https://pbs.twimg.com/profile_images/972156371968970753/1vanosid.jpg","View")</f>
        <v>View</v>
      </c>
    </row>
    <row r="2383" spans="1:21" ht="40.799999999999997">
      <c r="A2383" s="6">
        <v>43435.932199074072</v>
      </c>
      <c r="B2383" s="7" t="str">
        <f>HYPERLINK("https://twitter.com/cayeruby","@cayeruby")</f>
        <v>@cayeruby</v>
      </c>
      <c r="C2383" s="8" t="s">
        <v>218</v>
      </c>
      <c r="D2383" s="9" t="s">
        <v>8119</v>
      </c>
      <c r="E2383" s="10" t="str">
        <f>HYPERLINK("https://twitter.com/cayeruby/status/1068978637104386048","1068978637104386048")</f>
        <v>1068978637104386048</v>
      </c>
      <c r="F2383" s="12"/>
      <c r="G2383" s="12"/>
      <c r="H2383" s="12"/>
      <c r="I2383" s="13">
        <v>8</v>
      </c>
      <c r="J2383" s="13">
        <v>8</v>
      </c>
      <c r="K2383" s="14" t="str">
        <f t="shared" si="428"/>
        <v>Twitter Web Client</v>
      </c>
      <c r="L2383" s="13">
        <v>29765</v>
      </c>
      <c r="M2383" s="13">
        <v>19555</v>
      </c>
      <c r="N2383" s="13">
        <v>191</v>
      </c>
      <c r="O2383" s="15"/>
      <c r="P2383" s="6">
        <v>41316.125416666662</v>
      </c>
      <c r="Q2383" s="16" t="s">
        <v>221</v>
      </c>
      <c r="R2383" s="17" t="s">
        <v>222</v>
      </c>
      <c r="S2383" s="12"/>
      <c r="T2383" s="12"/>
      <c r="U2383" s="10" t="str">
        <f>HYPERLINK("https://pbs.twimg.com/profile_images/1017740980752146432/Jrrw8PP1.jpg","View")</f>
        <v>View</v>
      </c>
    </row>
    <row r="2384" spans="1:21" ht="20.399999999999999">
      <c r="A2384" s="6">
        <v>43435.927743055552</v>
      </c>
      <c r="B2384" s="7" t="str">
        <f>HYPERLINK("https://twitter.com/BraisRodrguez1","@BraisRodrguez1")</f>
        <v>@BraisRodrguez1</v>
      </c>
      <c r="C2384" s="8" t="s">
        <v>7347</v>
      </c>
      <c r="D2384" s="9" t="s">
        <v>8120</v>
      </c>
      <c r="E2384" s="10" t="str">
        <f>HYPERLINK("https://twitter.com/BraisRodrguez1/status/1068977024243589123","1068977024243589123")</f>
        <v>1068977024243589123</v>
      </c>
      <c r="F2384" s="11" t="s">
        <v>8121</v>
      </c>
      <c r="G2384" s="11" t="s">
        <v>8122</v>
      </c>
      <c r="H2384" s="12"/>
      <c r="I2384" s="13">
        <v>0</v>
      </c>
      <c r="J2384" s="13">
        <v>1</v>
      </c>
      <c r="K2384" s="14" t="str">
        <f>HYPERLINK("http://twitter.com/download/android","Twitter for Android")</f>
        <v>Twitter for Android</v>
      </c>
      <c r="L2384" s="13">
        <v>1021</v>
      </c>
      <c r="M2384" s="13">
        <v>4999</v>
      </c>
      <c r="N2384" s="13">
        <v>30</v>
      </c>
      <c r="O2384" s="15"/>
      <c r="P2384" s="6">
        <v>42566.668576388889</v>
      </c>
      <c r="Q2384" s="16" t="s">
        <v>7349</v>
      </c>
      <c r="R2384" s="17" t="s">
        <v>7350</v>
      </c>
      <c r="S2384" s="12"/>
      <c r="T2384" s="12"/>
      <c r="U2384" s="10" t="str">
        <f>HYPERLINK("https://pbs.twimg.com/profile_images/1056547291597848576/fhCYdHDt.jpg","View")</f>
        <v>View</v>
      </c>
    </row>
    <row r="2385" spans="1:21" ht="20.399999999999999">
      <c r="A2385" s="6">
        <v>43435.925185185188</v>
      </c>
      <c r="B2385" s="7" t="str">
        <f>HYPERLINK("https://twitter.com/OBoriba","@OBoriba")</f>
        <v>@OBoriba</v>
      </c>
      <c r="C2385" s="8" t="s">
        <v>1488</v>
      </c>
      <c r="D2385" s="9" t="s">
        <v>3837</v>
      </c>
      <c r="E2385" s="10" t="str">
        <f>HYPERLINK("https://twitter.com/OBoriba/status/1068976096652271617","1068976096652271617")</f>
        <v>1068976096652271617</v>
      </c>
      <c r="F2385" s="11" t="s">
        <v>3838</v>
      </c>
      <c r="G2385" s="12"/>
      <c r="H2385" s="12"/>
      <c r="I2385" s="13">
        <v>0</v>
      </c>
      <c r="J2385" s="13">
        <v>0</v>
      </c>
      <c r="K2385" s="14" t="str">
        <f>HYPERLINK("http://twitter.com","Twitter Web Client")</f>
        <v>Twitter Web Client</v>
      </c>
      <c r="L2385" s="13">
        <v>706</v>
      </c>
      <c r="M2385" s="13">
        <v>1528</v>
      </c>
      <c r="N2385" s="13">
        <v>9</v>
      </c>
      <c r="O2385" s="15"/>
      <c r="P2385" s="6">
        <v>42151.558587962965</v>
      </c>
      <c r="Q2385" s="12"/>
      <c r="R2385" s="20"/>
      <c r="S2385" s="12"/>
      <c r="T2385" s="12"/>
      <c r="U2385" s="10" t="str">
        <f>HYPERLINK("https://pbs.twimg.com/profile_images/603523065679585281/WGp7n5ld.jpg","View")</f>
        <v>View</v>
      </c>
    </row>
    <row r="2386" spans="1:21" ht="20.399999999999999">
      <c r="A2386" s="6">
        <v>43435.92186342593</v>
      </c>
      <c r="B2386" s="7" t="str">
        <f>HYPERLINK("https://twitter.com/elenacastaned17","@elenacastaned17")</f>
        <v>@elenacastaned17</v>
      </c>
      <c r="C2386" s="8" t="s">
        <v>8123</v>
      </c>
      <c r="D2386" s="9" t="s">
        <v>8124</v>
      </c>
      <c r="E2386" s="10" t="str">
        <f>HYPERLINK("https://twitter.com/elenacastaned17/status/1068974892530483200","1068974892530483200")</f>
        <v>1068974892530483200</v>
      </c>
      <c r="F2386" s="12"/>
      <c r="G2386" s="12"/>
      <c r="H2386" s="12"/>
      <c r="I2386" s="13">
        <v>0</v>
      </c>
      <c r="J2386" s="13">
        <v>0</v>
      </c>
      <c r="K2386" s="14" t="str">
        <f t="shared" ref="K2386:K2388" si="429">HYPERLINK("http://twitter.com/download/android","Twitter for Android")</f>
        <v>Twitter for Android</v>
      </c>
      <c r="L2386" s="13">
        <v>5</v>
      </c>
      <c r="M2386" s="13">
        <v>52</v>
      </c>
      <c r="N2386" s="13">
        <v>0</v>
      </c>
      <c r="O2386" s="15"/>
      <c r="P2386" s="6">
        <v>41589.90357638889</v>
      </c>
      <c r="Q2386" s="12"/>
      <c r="R2386" s="20"/>
      <c r="S2386" s="12"/>
      <c r="T2386" s="12"/>
      <c r="U2386" s="19" t="s">
        <v>359</v>
      </c>
    </row>
    <row r="2387" spans="1:21" ht="20.399999999999999">
      <c r="A2387" s="6">
        <v>43435.920636574076</v>
      </c>
      <c r="B2387" s="7" t="str">
        <f>HYPERLINK("https://twitter.com/gilberto166","@gilberto166")</f>
        <v>@gilberto166</v>
      </c>
      <c r="C2387" s="8" t="s">
        <v>8125</v>
      </c>
      <c r="D2387" s="9" t="s">
        <v>8126</v>
      </c>
      <c r="E2387" s="10" t="str">
        <f>HYPERLINK("https://twitter.com/gilberto166/status/1068974445585403904","1068974445585403904")</f>
        <v>1068974445585403904</v>
      </c>
      <c r="F2387" s="11" t="s">
        <v>8127</v>
      </c>
      <c r="G2387" s="11" t="s">
        <v>8128</v>
      </c>
      <c r="H2387" s="12"/>
      <c r="I2387" s="13">
        <v>0</v>
      </c>
      <c r="J2387" s="13">
        <v>0</v>
      </c>
      <c r="K2387" s="14" t="str">
        <f t="shared" si="429"/>
        <v>Twitter for Android</v>
      </c>
      <c r="L2387" s="13">
        <v>127</v>
      </c>
      <c r="M2387" s="13">
        <v>69</v>
      </c>
      <c r="N2387" s="13">
        <v>0</v>
      </c>
      <c r="O2387" s="15"/>
      <c r="P2387" s="6">
        <v>40672.534594907411</v>
      </c>
      <c r="Q2387" s="16" t="s">
        <v>325</v>
      </c>
      <c r="R2387" s="17" t="s">
        <v>8129</v>
      </c>
      <c r="S2387" s="11" t="s">
        <v>8130</v>
      </c>
      <c r="T2387" s="12"/>
      <c r="U2387" s="10" t="str">
        <f>HYPERLINK("https://pbs.twimg.com/profile_images/556901108011266048/qkI9ef4T.jpeg","View")</f>
        <v>View</v>
      </c>
    </row>
    <row r="2388" spans="1:21" ht="40.799999999999997">
      <c r="A2388" s="6">
        <v>43435.917858796296</v>
      </c>
      <c r="B2388" s="7" t="str">
        <f>HYPERLINK("https://twitter.com/luchador2017","@luchador2017")</f>
        <v>@luchador2017</v>
      </c>
      <c r="C2388" s="8" t="s">
        <v>8131</v>
      </c>
      <c r="D2388" s="9" t="s">
        <v>8132</v>
      </c>
      <c r="E2388" s="10" t="str">
        <f>HYPERLINK("https://twitter.com/luchador2017/status/1068973441750102017","1068973441750102017")</f>
        <v>1068973441750102017</v>
      </c>
      <c r="F2388" s="12"/>
      <c r="G2388" s="11" t="s">
        <v>8133</v>
      </c>
      <c r="H2388" s="12"/>
      <c r="I2388" s="13">
        <v>0</v>
      </c>
      <c r="J2388" s="13">
        <v>0</v>
      </c>
      <c r="K2388" s="14" t="str">
        <f t="shared" si="429"/>
        <v>Twitter for Android</v>
      </c>
      <c r="L2388" s="13">
        <v>19</v>
      </c>
      <c r="M2388" s="13">
        <v>27</v>
      </c>
      <c r="N2388" s="13">
        <v>2</v>
      </c>
      <c r="O2388" s="15"/>
      <c r="P2388" s="6">
        <v>42729.092488425929</v>
      </c>
      <c r="Q2388" s="16" t="s">
        <v>8134</v>
      </c>
      <c r="R2388" s="17" t="s">
        <v>8135</v>
      </c>
      <c r="S2388" s="12"/>
      <c r="T2388" s="12"/>
      <c r="U2388" s="10" t="str">
        <f>HYPERLINK("https://pbs.twimg.com/profile_images/1002311853249388544/GtTQnHTl.jpg","View")</f>
        <v>View</v>
      </c>
    </row>
    <row r="2389" spans="1:21" ht="30.6">
      <c r="A2389" s="6">
        <v>43435.917662037042</v>
      </c>
      <c r="B2389" s="7" t="str">
        <f>HYPERLINK("https://twitter.com/juanmaLpechina","@juanmaLpechina")</f>
        <v>@juanmaLpechina</v>
      </c>
      <c r="C2389" s="8" t="s">
        <v>8136</v>
      </c>
      <c r="D2389" s="9" t="s">
        <v>973</v>
      </c>
      <c r="E2389" s="10" t="str">
        <f>HYPERLINK("https://twitter.com/juanmaLpechina/status/1068973370765643777","1068973370765643777")</f>
        <v>1068973370765643777</v>
      </c>
      <c r="F2389" s="11" t="s">
        <v>974</v>
      </c>
      <c r="G2389" s="12"/>
      <c r="H2389" s="12"/>
      <c r="I2389" s="13">
        <v>0</v>
      </c>
      <c r="J2389" s="13">
        <v>0</v>
      </c>
      <c r="K2389" s="14" t="str">
        <f>HYPERLINK("http://www.facebook.com/twitter","Facebook")</f>
        <v>Facebook</v>
      </c>
      <c r="L2389" s="13">
        <v>348</v>
      </c>
      <c r="M2389" s="13">
        <v>625</v>
      </c>
      <c r="N2389" s="13">
        <v>3</v>
      </c>
      <c r="O2389" s="15"/>
      <c r="P2389" s="6">
        <v>41860.371539351851</v>
      </c>
      <c r="Q2389" s="16" t="s">
        <v>8137</v>
      </c>
      <c r="R2389" s="17" t="s">
        <v>8138</v>
      </c>
      <c r="S2389" s="12"/>
      <c r="T2389" s="12"/>
      <c r="U2389" s="10" t="str">
        <f>HYPERLINK("https://pbs.twimg.com/profile_images/1063752330393370624/z6EybDsK.jpg","View")</f>
        <v>View</v>
      </c>
    </row>
    <row r="2390" spans="1:21" ht="20.399999999999999">
      <c r="A2390" s="6">
        <v>43435.914166666669</v>
      </c>
      <c r="B2390" s="7" t="str">
        <f>HYPERLINK("https://twitter.com/Davellanedar","@Davellanedar")</f>
        <v>@Davellanedar</v>
      </c>
      <c r="C2390" s="8" t="s">
        <v>4007</v>
      </c>
      <c r="D2390" s="9" t="s">
        <v>8139</v>
      </c>
      <c r="E2390" s="10" t="str">
        <f>HYPERLINK("https://twitter.com/Davellanedar/status/1068972101510549506","1068972101510549506")</f>
        <v>1068972101510549506</v>
      </c>
      <c r="F2390" s="11" t="s">
        <v>7497</v>
      </c>
      <c r="G2390" s="12"/>
      <c r="H2390" s="12"/>
      <c r="I2390" s="13">
        <v>4</v>
      </c>
      <c r="J2390" s="13">
        <v>4</v>
      </c>
      <c r="K2390" s="14" t="str">
        <f>HYPERLINK("http://twitter.com/download/android","Twitter for Android")</f>
        <v>Twitter for Android</v>
      </c>
      <c r="L2390" s="13">
        <v>21375</v>
      </c>
      <c r="M2390" s="13">
        <v>2640</v>
      </c>
      <c r="N2390" s="13">
        <v>145</v>
      </c>
      <c r="O2390" s="15"/>
      <c r="P2390" s="6">
        <v>41822.514861111107</v>
      </c>
      <c r="Q2390" s="16" t="s">
        <v>854</v>
      </c>
      <c r="R2390" s="17" t="s">
        <v>4009</v>
      </c>
      <c r="S2390" s="12"/>
      <c r="T2390" s="12"/>
      <c r="U2390" s="10" t="str">
        <f>HYPERLINK("https://pbs.twimg.com/profile_images/991332819740909568/g5Inwphn.jpg","View")</f>
        <v>View</v>
      </c>
    </row>
    <row r="2391" spans="1:21" ht="30.6">
      <c r="A2391" s="6">
        <v>43435.912824074076</v>
      </c>
      <c r="B2391" s="7" t="str">
        <f>HYPERLINK("https://twitter.com/Jjazcano","@Jjazcano")</f>
        <v>@Jjazcano</v>
      </c>
      <c r="C2391" s="8" t="s">
        <v>8140</v>
      </c>
      <c r="D2391" s="9" t="s">
        <v>8141</v>
      </c>
      <c r="E2391" s="10" t="str">
        <f>HYPERLINK("https://twitter.com/Jjazcano/status/1068971614342139904","1068971614342139904")</f>
        <v>1068971614342139904</v>
      </c>
      <c r="F2391" s="11" t="s">
        <v>7875</v>
      </c>
      <c r="G2391" s="12"/>
      <c r="H2391" s="12"/>
      <c r="I2391" s="13">
        <v>0</v>
      </c>
      <c r="J2391" s="13">
        <v>1</v>
      </c>
      <c r="K2391" s="14" t="str">
        <f t="shared" ref="K2391:K2392" si="430">HYPERLINK("http://twitter.com","Twitter Web Client")</f>
        <v>Twitter Web Client</v>
      </c>
      <c r="L2391" s="13">
        <v>9560</v>
      </c>
      <c r="M2391" s="13">
        <v>9076</v>
      </c>
      <c r="N2391" s="13">
        <v>37</v>
      </c>
      <c r="O2391" s="15"/>
      <c r="P2391" s="6">
        <v>41816.255057870367</v>
      </c>
      <c r="Q2391" s="16" t="s">
        <v>8142</v>
      </c>
      <c r="R2391" s="17" t="s">
        <v>8143</v>
      </c>
      <c r="S2391" s="11" t="s">
        <v>8144</v>
      </c>
      <c r="T2391" s="12"/>
      <c r="U2391" s="10" t="str">
        <f>HYPERLINK("https://pbs.twimg.com/profile_images/941926144831565827/MEwYgfp6.jpg","View")</f>
        <v>View</v>
      </c>
    </row>
    <row r="2392" spans="1:21" ht="51">
      <c r="A2392" s="6">
        <v>43435.908865740741</v>
      </c>
      <c r="B2392" s="7" t="str">
        <f>HYPERLINK("https://twitter.com/Paquita_R","@Paquita_R")</f>
        <v>@Paquita_R</v>
      </c>
      <c r="C2392" s="8" t="s">
        <v>417</v>
      </c>
      <c r="D2392" s="9" t="s">
        <v>8145</v>
      </c>
      <c r="E2392" s="10" t="str">
        <f>HYPERLINK("https://twitter.com/Paquita_R/status/1068970182138314752","1068970182138314752")</f>
        <v>1068970182138314752</v>
      </c>
      <c r="F2392" s="11" t="s">
        <v>8146</v>
      </c>
      <c r="G2392" s="12"/>
      <c r="H2392" s="12"/>
      <c r="I2392" s="13">
        <v>0</v>
      </c>
      <c r="J2392" s="13">
        <v>0</v>
      </c>
      <c r="K2392" s="14" t="str">
        <f t="shared" si="430"/>
        <v>Twitter Web Client</v>
      </c>
      <c r="L2392" s="13">
        <v>83</v>
      </c>
      <c r="M2392" s="13">
        <v>369</v>
      </c>
      <c r="N2392" s="13">
        <v>1</v>
      </c>
      <c r="O2392" s="15"/>
      <c r="P2392" s="6">
        <v>40174.983449074076</v>
      </c>
      <c r="Q2392" s="16" t="s">
        <v>191</v>
      </c>
      <c r="R2392" s="20"/>
      <c r="S2392" s="12"/>
      <c r="T2392" s="12"/>
      <c r="U2392" s="10" t="str">
        <f>HYPERLINK("https://pbs.twimg.com/profile_images/1067916239484436480/NAudR-HG.jpg","View")</f>
        <v>View</v>
      </c>
    </row>
    <row r="2393" spans="1:21" ht="20.399999999999999">
      <c r="A2393" s="6">
        <v>43435.905081018514</v>
      </c>
      <c r="B2393" s="7" t="str">
        <f>HYPERLINK("https://twitter.com/TurboNoticias","@TurboNoticias")</f>
        <v>@TurboNoticias</v>
      </c>
      <c r="C2393" s="8" t="s">
        <v>2100</v>
      </c>
      <c r="D2393" s="9" t="s">
        <v>7686</v>
      </c>
      <c r="E2393" s="10" t="str">
        <f>HYPERLINK("https://twitter.com/TurboNoticias/status/1068968810215022593","1068968810215022593")</f>
        <v>1068968810215022593</v>
      </c>
      <c r="F2393" s="11" t="s">
        <v>8147</v>
      </c>
      <c r="G2393" s="12"/>
      <c r="H2393" s="12"/>
      <c r="I2393" s="13">
        <v>0</v>
      </c>
      <c r="J2393" s="13">
        <v>0</v>
      </c>
      <c r="K2393" s="14" t="str">
        <f>HYPERLINK("https://ifttt.com","IFTTT")</f>
        <v>IFTTT</v>
      </c>
      <c r="L2393" s="13">
        <v>965</v>
      </c>
      <c r="M2393" s="13">
        <v>853</v>
      </c>
      <c r="N2393" s="13">
        <v>72</v>
      </c>
      <c r="O2393" s="15"/>
      <c r="P2393" s="6">
        <v>41374.90861111111</v>
      </c>
      <c r="Q2393" s="12"/>
      <c r="R2393" s="17" t="s">
        <v>2101</v>
      </c>
      <c r="S2393" s="12"/>
      <c r="T2393" s="12"/>
      <c r="U2393" s="10" t="str">
        <f>HYPERLINK("https://pbs.twimg.com/profile_images/3503488030/f3fa72449e81ed8eb09fe5df9d6c5afe.jpeg","View")</f>
        <v>View</v>
      </c>
    </row>
    <row r="2394" spans="1:21" ht="40.799999999999997">
      <c r="A2394" s="6">
        <v>43435.904965277776</v>
      </c>
      <c r="B2394" s="7" t="str">
        <f>HYPERLINK("https://twitter.com/Voskov_","@Voskov_")</f>
        <v>@Voskov_</v>
      </c>
      <c r="C2394" s="8" t="s">
        <v>8148</v>
      </c>
      <c r="D2394" s="9" t="s">
        <v>8149</v>
      </c>
      <c r="E2394" s="10" t="str">
        <f>HYPERLINK("https://twitter.com/Voskov_/status/1068968766627815425","1068968766627815425")</f>
        <v>1068968766627815425</v>
      </c>
      <c r="F2394" s="12"/>
      <c r="G2394" s="12"/>
      <c r="H2394" s="12"/>
      <c r="I2394" s="13">
        <v>0</v>
      </c>
      <c r="J2394" s="13">
        <v>0</v>
      </c>
      <c r="K2394" s="14" t="str">
        <f>HYPERLINK("http://twitter.com/download/android","Twitter for Android")</f>
        <v>Twitter for Android</v>
      </c>
      <c r="L2394" s="13">
        <v>487</v>
      </c>
      <c r="M2394" s="13">
        <v>969</v>
      </c>
      <c r="N2394" s="13">
        <v>7</v>
      </c>
      <c r="O2394" s="15"/>
      <c r="P2394" s="6">
        <v>41915.43273148148</v>
      </c>
      <c r="Q2394" s="16" t="s">
        <v>8150</v>
      </c>
      <c r="R2394" s="17" t="s">
        <v>8151</v>
      </c>
      <c r="S2394" s="11" t="s">
        <v>8152</v>
      </c>
      <c r="T2394" s="12"/>
      <c r="U2394" s="10" t="str">
        <f>HYPERLINK("https://pbs.twimg.com/profile_images/1017716529083928576/AjUGBZz4.jpg","View")</f>
        <v>View</v>
      </c>
    </row>
    <row r="2395" spans="1:21" ht="13.2">
      <c r="A2395" s="6">
        <v>43435.903611111113</v>
      </c>
      <c r="B2395" s="7" t="str">
        <f>HYPERLINK("https://twitter.com/cacahuetefeliz","@cacahuetefeliz")</f>
        <v>@cacahuetefeliz</v>
      </c>
      <c r="C2395" s="8" t="s">
        <v>8153</v>
      </c>
      <c r="D2395" s="9" t="s">
        <v>7686</v>
      </c>
      <c r="E2395" s="10" t="str">
        <f>HYPERLINK("https://twitter.com/cacahuetefeliz/status/1068968275642593281","1068968275642593281")</f>
        <v>1068968275642593281</v>
      </c>
      <c r="F2395" s="16" t="s">
        <v>8154</v>
      </c>
      <c r="G2395" s="12"/>
      <c r="H2395" s="12"/>
      <c r="I2395" s="13">
        <v>0</v>
      </c>
      <c r="J2395" s="13">
        <v>0</v>
      </c>
      <c r="K2395" s="14" t="str">
        <f>HYPERLINK("https://ifttt.com","IFTTT")</f>
        <v>IFTTT</v>
      </c>
      <c r="L2395" s="13">
        <v>126</v>
      </c>
      <c r="M2395" s="13">
        <v>176</v>
      </c>
      <c r="N2395" s="13">
        <v>34</v>
      </c>
      <c r="O2395" s="15"/>
      <c r="P2395" s="6">
        <v>39818.179988425924</v>
      </c>
      <c r="Q2395" s="16" t="s">
        <v>191</v>
      </c>
      <c r="R2395" s="20"/>
      <c r="S2395" s="12"/>
      <c r="T2395" s="12"/>
      <c r="U2395" s="10" t="str">
        <f>HYPERLINK("https://pbs.twimg.com/profile_images/262439573/DSC_0022.png","View")</f>
        <v>View</v>
      </c>
    </row>
    <row r="2396" spans="1:21" ht="30.6">
      <c r="A2396" s="6">
        <v>43435.902696759258</v>
      </c>
      <c r="B2396" s="7" t="str">
        <f>HYPERLINK("https://twitter.com/pasaloydivulga","@pasaloydivulga")</f>
        <v>@pasaloydivulga</v>
      </c>
      <c r="C2396" s="8" t="s">
        <v>8105</v>
      </c>
      <c r="D2396" s="9" t="s">
        <v>8107</v>
      </c>
      <c r="E2396" s="10" t="str">
        <f>HYPERLINK("https://twitter.com/pasaloydivulga/status/1068967944443609088","1068967944443609088")</f>
        <v>1068967944443609088</v>
      </c>
      <c r="F2396" s="11" t="s">
        <v>7665</v>
      </c>
      <c r="G2396" s="12"/>
      <c r="H2396" s="12"/>
      <c r="I2396" s="13">
        <v>2</v>
      </c>
      <c r="J2396" s="13">
        <v>1</v>
      </c>
      <c r="K2396" s="14" t="str">
        <f>HYPERLINK("http://twitter.com","Twitter Web Client")</f>
        <v>Twitter Web Client</v>
      </c>
      <c r="L2396" s="13">
        <v>21607</v>
      </c>
      <c r="M2396" s="13">
        <v>2622</v>
      </c>
      <c r="N2396" s="13">
        <v>198</v>
      </c>
      <c r="O2396" s="15"/>
      <c r="P2396" s="6">
        <v>41151.766805555555</v>
      </c>
      <c r="Q2396" s="16" t="s">
        <v>191</v>
      </c>
      <c r="R2396" s="17" t="s">
        <v>8108</v>
      </c>
      <c r="S2396" s="12"/>
      <c r="T2396" s="12"/>
      <c r="U2396" s="10" t="str">
        <f>HYPERLINK("https://pbs.twimg.com/profile_images/2559634503/gi6ttwqp2zcemgpx3p6s.gif","View")</f>
        <v>View</v>
      </c>
    </row>
    <row r="2397" spans="1:21" ht="20.399999999999999">
      <c r="A2397" s="6">
        <v>43435.902627314819</v>
      </c>
      <c r="B2397" s="7" t="str">
        <f>HYPERLINK("https://twitter.com/maximauturidad","@maximauturidad")</f>
        <v>@maximauturidad</v>
      </c>
      <c r="C2397" s="8" t="s">
        <v>8155</v>
      </c>
      <c r="D2397" s="9" t="s">
        <v>8156</v>
      </c>
      <c r="E2397" s="10" t="str">
        <f>HYPERLINK("https://twitter.com/maximauturidad/status/1068967920435376134","1068967920435376134")</f>
        <v>1068967920435376134</v>
      </c>
      <c r="F2397" s="12"/>
      <c r="G2397" s="12"/>
      <c r="H2397" s="12"/>
      <c r="I2397" s="13">
        <v>0</v>
      </c>
      <c r="J2397" s="13">
        <v>11</v>
      </c>
      <c r="K2397" s="14" t="str">
        <f>HYPERLINK("http://twitter.com/download/android","Twitter for Android")</f>
        <v>Twitter for Android</v>
      </c>
      <c r="L2397" s="13">
        <v>21</v>
      </c>
      <c r="M2397" s="13">
        <v>14</v>
      </c>
      <c r="N2397" s="13">
        <v>1</v>
      </c>
      <c r="O2397" s="15"/>
      <c r="P2397" s="6">
        <v>42878.744942129633</v>
      </c>
      <c r="Q2397" s="12"/>
      <c r="R2397" s="17" t="s">
        <v>8157</v>
      </c>
      <c r="S2397" s="12"/>
      <c r="T2397" s="12"/>
      <c r="U2397" s="10" t="str">
        <f>HYPERLINK("https://pbs.twimg.com/profile_images/867061101133017089/bQaxALEv.jpg","View")</f>
        <v>View</v>
      </c>
    </row>
    <row r="2398" spans="1:21" ht="20.399999999999999">
      <c r="A2398" s="6">
        <v>43435.901770833334</v>
      </c>
      <c r="B2398" s="7" t="str">
        <f>HYPERLINK("https://twitter.com/mg_elx","@mg_elx")</f>
        <v>@mg_elx</v>
      </c>
      <c r="C2398" s="8" t="s">
        <v>8158</v>
      </c>
      <c r="D2398" s="9" t="s">
        <v>8159</v>
      </c>
      <c r="E2398" s="10" t="str">
        <f>HYPERLINK("https://twitter.com/mg_elx/status/1068967608714698754","1068967608714698754")</f>
        <v>1068967608714698754</v>
      </c>
      <c r="F2398" s="11" t="s">
        <v>8160</v>
      </c>
      <c r="G2398" s="12"/>
      <c r="H2398" s="12"/>
      <c r="I2398" s="13">
        <v>20</v>
      </c>
      <c r="J2398" s="13">
        <v>23</v>
      </c>
      <c r="K2398" s="14" t="str">
        <f>HYPERLINK("http://twitter.com","Twitter Web Client")</f>
        <v>Twitter Web Client</v>
      </c>
      <c r="L2398" s="13">
        <v>1089</v>
      </c>
      <c r="M2398" s="13">
        <v>807</v>
      </c>
      <c r="N2398" s="13">
        <v>5</v>
      </c>
      <c r="O2398" s="15"/>
      <c r="P2398" s="6">
        <v>42673.541030092594</v>
      </c>
      <c r="Q2398" s="16" t="s">
        <v>361</v>
      </c>
      <c r="R2398" s="17" t="s">
        <v>8161</v>
      </c>
      <c r="S2398" s="12"/>
      <c r="T2398" s="12"/>
      <c r="U2398" s="10" t="str">
        <f>HYPERLINK("https://pbs.twimg.com/profile_images/1048985481445330945/2lIknotr.jpg","View")</f>
        <v>View</v>
      </c>
    </row>
    <row r="2399" spans="1:21" ht="30.6">
      <c r="A2399" s="6">
        <v>43435.899375000001</v>
      </c>
      <c r="B2399" s="7" t="str">
        <f>HYPERLINK("https://twitter.com/meneame_net","@meneame_net")</f>
        <v>@meneame_net</v>
      </c>
      <c r="C2399" s="8" t="s">
        <v>8162</v>
      </c>
      <c r="D2399" s="9" t="s">
        <v>7686</v>
      </c>
      <c r="E2399" s="10" t="str">
        <f>HYPERLINK("https://twitter.com/meneame_net/status/1068966740510613504","1068966740510613504")</f>
        <v>1068966740510613504</v>
      </c>
      <c r="F2399" s="11" t="s">
        <v>8163</v>
      </c>
      <c r="G2399" s="11" t="s">
        <v>8164</v>
      </c>
      <c r="H2399" s="12"/>
      <c r="I2399" s="13">
        <v>1</v>
      </c>
      <c r="J2399" s="13">
        <v>1</v>
      </c>
      <c r="K2399" s="14" t="str">
        <f>HYPERLINK("http://www.meneame.net","Menéame  posts")</f>
        <v>Menéame  posts</v>
      </c>
      <c r="L2399" s="13">
        <v>237307</v>
      </c>
      <c r="M2399" s="13">
        <v>7</v>
      </c>
      <c r="N2399" s="13">
        <v>6197</v>
      </c>
      <c r="O2399" s="19" t="s">
        <v>44</v>
      </c>
      <c r="P2399" s="6">
        <v>39303.565486111111</v>
      </c>
      <c r="Q2399" s="16" t="s">
        <v>772</v>
      </c>
      <c r="R2399" s="17" t="s">
        <v>8165</v>
      </c>
      <c r="S2399" s="11" t="s">
        <v>8166</v>
      </c>
      <c r="T2399" s="12"/>
      <c r="U2399" s="10" t="str">
        <f>HYPERLINK("https://pbs.twimg.com/profile_images/2612468613/71m9m2e950c578cle23n.png","View")</f>
        <v>View</v>
      </c>
    </row>
    <row r="2400" spans="1:21" ht="20.399999999999999">
      <c r="A2400" s="6">
        <v>43435.89743055556</v>
      </c>
      <c r="B2400" s="7" t="str">
        <f>HYPERLINK("https://twitter.com/AtticusUve","@AtticusUve")</f>
        <v>@AtticusUve</v>
      </c>
      <c r="C2400" s="8" t="s">
        <v>8167</v>
      </c>
      <c r="D2400" s="9" t="s">
        <v>8168</v>
      </c>
      <c r="E2400" s="10" t="str">
        <f>HYPERLINK("https://twitter.com/AtticusUve/status/1068966039134920705","1068966039134920705")</f>
        <v>1068966039134920705</v>
      </c>
      <c r="F2400" s="12"/>
      <c r="G2400" s="11" t="s">
        <v>8169</v>
      </c>
      <c r="H2400" s="12"/>
      <c r="I2400" s="13">
        <v>0</v>
      </c>
      <c r="J2400" s="13">
        <v>1</v>
      </c>
      <c r="K2400" s="14" t="str">
        <f>HYPERLINK("http://twitter.com/download/android","Twitter for Android")</f>
        <v>Twitter for Android</v>
      </c>
      <c r="L2400" s="13">
        <v>1633</v>
      </c>
      <c r="M2400" s="13">
        <v>1020</v>
      </c>
      <c r="N2400" s="13">
        <v>29</v>
      </c>
      <c r="O2400" s="15"/>
      <c r="P2400" s="6">
        <v>40968.856435185182</v>
      </c>
      <c r="Q2400" s="12"/>
      <c r="R2400" s="20"/>
      <c r="S2400" s="12"/>
      <c r="T2400" s="12"/>
      <c r="U2400" s="10" t="str">
        <f>HYPERLINK("https://pbs.twimg.com/profile_images/1909372771/balbo.jpg","View")</f>
        <v>View</v>
      </c>
    </row>
    <row r="2401" spans="1:21" ht="40.799999999999997">
      <c r="A2401" s="6">
        <v>43435.887002314819</v>
      </c>
      <c r="B2401" s="7" t="str">
        <f>HYPERLINK("https://twitter.com/NotAnAndroid","@NotAnAndroid")</f>
        <v>@NotAnAndroid</v>
      </c>
      <c r="C2401" s="8" t="s">
        <v>8170</v>
      </c>
      <c r="D2401" s="9" t="s">
        <v>8171</v>
      </c>
      <c r="E2401" s="10" t="str">
        <f>HYPERLINK("https://twitter.com/NotAnAndroid/status/1068962260381548545","1068962260381548545")</f>
        <v>1068962260381548545</v>
      </c>
      <c r="F2401" s="16" t="s">
        <v>8154</v>
      </c>
      <c r="G2401" s="12"/>
      <c r="H2401" s="12"/>
      <c r="I2401" s="13">
        <v>5</v>
      </c>
      <c r="J2401" s="13">
        <v>13</v>
      </c>
      <c r="K2401" s="14" t="str">
        <f>HYPERLINK("http://twitter.com/download/iphone","Twitter for iPhone")</f>
        <v>Twitter for iPhone</v>
      </c>
      <c r="L2401" s="13">
        <v>310</v>
      </c>
      <c r="M2401" s="13">
        <v>769</v>
      </c>
      <c r="N2401" s="13">
        <v>14</v>
      </c>
      <c r="O2401" s="15"/>
      <c r="P2401" s="6">
        <v>40415.939062500001</v>
      </c>
      <c r="Q2401" s="16" t="s">
        <v>191</v>
      </c>
      <c r="R2401" s="17" t="s">
        <v>8172</v>
      </c>
      <c r="S2401" s="11" t="s">
        <v>8173</v>
      </c>
      <c r="T2401" s="12"/>
      <c r="U2401" s="10" t="str">
        <f>HYPERLINK("https://pbs.twimg.com/profile_images/731215918081167361/Dqxjyubp.jpg","View")</f>
        <v>View</v>
      </c>
    </row>
    <row r="2402" spans="1:21" ht="30.6">
      <c r="A2402" s="6">
        <v>43435.876296296294</v>
      </c>
      <c r="B2402" s="7" t="str">
        <f>HYPERLINK("https://twitter.com/Grannazareno","@Grannazareno")</f>
        <v>@Grannazareno</v>
      </c>
      <c r="C2402" s="8" t="s">
        <v>8174</v>
      </c>
      <c r="D2402" s="9" t="s">
        <v>8175</v>
      </c>
      <c r="E2402" s="10" t="str">
        <f>HYPERLINK("https://twitter.com/Grannazareno/status/1068958378104422401","1068958378104422401")</f>
        <v>1068958378104422401</v>
      </c>
      <c r="F2402" s="12"/>
      <c r="G2402" s="11" t="s">
        <v>8176</v>
      </c>
      <c r="H2402" s="12"/>
      <c r="I2402" s="13">
        <v>5</v>
      </c>
      <c r="J2402" s="13">
        <v>12</v>
      </c>
      <c r="K2402" s="14" t="str">
        <f>HYPERLINK("http://twitter.com/download/android","Twitter for Android")</f>
        <v>Twitter for Android</v>
      </c>
      <c r="L2402" s="13">
        <v>4961</v>
      </c>
      <c r="M2402" s="13">
        <v>3684</v>
      </c>
      <c r="N2402" s="13">
        <v>16</v>
      </c>
      <c r="O2402" s="15"/>
      <c r="P2402" s="6">
        <v>40675.906793981485</v>
      </c>
      <c r="Q2402" s="16" t="s">
        <v>8177</v>
      </c>
      <c r="R2402" s="17" t="s">
        <v>8178</v>
      </c>
      <c r="S2402" s="12"/>
      <c r="T2402" s="12"/>
      <c r="U2402" s="10" t="str">
        <f>HYPERLINK("https://pbs.twimg.com/profile_images/515188346985783296/Ly-kPDY2.jpeg","View")</f>
        <v>View</v>
      </c>
    </row>
    <row r="2403" spans="1:21" ht="40.799999999999997">
      <c r="A2403" s="6">
        <v>43435.869606481487</v>
      </c>
      <c r="B2403" s="7" t="str">
        <f>HYPERLINK("https://twitter.com/massumpcio","@massumpcio")</f>
        <v>@massumpcio</v>
      </c>
      <c r="C2403" s="8" t="s">
        <v>8179</v>
      </c>
      <c r="D2403" s="9" t="s">
        <v>8180</v>
      </c>
      <c r="E2403" s="10" t="str">
        <f>HYPERLINK("https://twitter.com/massumpcio/status/1068955953729552384","1068955953729552384")</f>
        <v>1068955953729552384</v>
      </c>
      <c r="F2403" s="11" t="s">
        <v>4962</v>
      </c>
      <c r="G2403" s="12"/>
      <c r="H2403" s="12"/>
      <c r="I2403" s="13">
        <v>0</v>
      </c>
      <c r="J2403" s="13">
        <v>0</v>
      </c>
      <c r="K2403" s="14" t="str">
        <f t="shared" ref="K2403:K2404" si="431">HYPERLINK("http://twitter.com","Twitter Web Client")</f>
        <v>Twitter Web Client</v>
      </c>
      <c r="L2403" s="13">
        <v>286</v>
      </c>
      <c r="M2403" s="13">
        <v>638</v>
      </c>
      <c r="N2403" s="13">
        <v>12</v>
      </c>
      <c r="O2403" s="15"/>
      <c r="P2403" s="6">
        <v>42213.712523148148</v>
      </c>
      <c r="Q2403" s="12"/>
      <c r="R2403" s="17" t="s">
        <v>8181</v>
      </c>
      <c r="S2403" s="12"/>
      <c r="T2403" s="12"/>
      <c r="U2403" s="10" t="str">
        <f>HYPERLINK("https://pbs.twimg.com/profile_images/650387731735019520/Jg9SXBd0.jpg","View")</f>
        <v>View</v>
      </c>
    </row>
    <row r="2404" spans="1:21" ht="20.399999999999999">
      <c r="A2404" s="6">
        <v>43435.868738425925</v>
      </c>
      <c r="B2404" s="7" t="str">
        <f>HYPERLINK("https://twitter.com/SantoySegna","@SantoySegna")</f>
        <v>@SantoySegna</v>
      </c>
      <c r="C2404" s="8" t="s">
        <v>8182</v>
      </c>
      <c r="D2404" s="9" t="s">
        <v>4961</v>
      </c>
      <c r="E2404" s="10" t="str">
        <f>HYPERLINK("https://twitter.com/SantoySegna/status/1068955640989712385","1068955640989712385")</f>
        <v>1068955640989712385</v>
      </c>
      <c r="F2404" s="11" t="s">
        <v>4962</v>
      </c>
      <c r="G2404" s="12"/>
      <c r="H2404" s="12"/>
      <c r="I2404" s="13">
        <v>0</v>
      </c>
      <c r="J2404" s="13">
        <v>0</v>
      </c>
      <c r="K2404" s="14" t="str">
        <f t="shared" si="431"/>
        <v>Twitter Web Client</v>
      </c>
      <c r="L2404" s="13">
        <v>304</v>
      </c>
      <c r="M2404" s="13">
        <v>1070</v>
      </c>
      <c r="N2404" s="13">
        <v>7</v>
      </c>
      <c r="O2404" s="15"/>
      <c r="P2404" s="6">
        <v>40682.646122685182</v>
      </c>
      <c r="Q2404" s="16" t="s">
        <v>8183</v>
      </c>
      <c r="R2404" s="17" t="s">
        <v>8184</v>
      </c>
      <c r="S2404" s="12"/>
      <c r="T2404" s="12"/>
      <c r="U2404" s="10" t="str">
        <f>HYPERLINK("https://pbs.twimg.com/profile_images/884132541623668736/xqLy4DTw.jpg","View")</f>
        <v>View</v>
      </c>
    </row>
    <row r="2405" spans="1:21" ht="40.799999999999997">
      <c r="A2405" s="6">
        <v>43435.868090277778</v>
      </c>
      <c r="B2405" s="7" t="str">
        <f>HYPERLINK("https://twitter.com/cuin1425","@cuin1425")</f>
        <v>@cuin1425</v>
      </c>
      <c r="C2405" s="8" t="s">
        <v>2618</v>
      </c>
      <c r="D2405" s="9" t="s">
        <v>8185</v>
      </c>
      <c r="E2405" s="10" t="str">
        <f>HYPERLINK("https://twitter.com/cuin1425/status/1068955404779040768","1068955404779040768")</f>
        <v>1068955404779040768</v>
      </c>
      <c r="F2405" s="11" t="s">
        <v>8186</v>
      </c>
      <c r="G2405" s="12"/>
      <c r="H2405" s="12"/>
      <c r="I2405" s="13">
        <v>0</v>
      </c>
      <c r="J2405" s="13">
        <v>0</v>
      </c>
      <c r="K2405" s="14" t="str">
        <f>HYPERLINK("http://www.facebook.com/twitter","Facebook")</f>
        <v>Facebook</v>
      </c>
      <c r="L2405" s="13">
        <v>580</v>
      </c>
      <c r="M2405" s="13">
        <v>977</v>
      </c>
      <c r="N2405" s="13">
        <v>13</v>
      </c>
      <c r="O2405" s="15"/>
      <c r="P2405" s="6">
        <v>40274.437928240739</v>
      </c>
      <c r="Q2405" s="16" t="s">
        <v>2620</v>
      </c>
      <c r="R2405" s="17" t="s">
        <v>2621</v>
      </c>
      <c r="S2405" s="12"/>
      <c r="T2405" s="12"/>
      <c r="U2405" s="10" t="str">
        <f>HYPERLINK("https://pbs.twimg.com/profile_images/820055555305832448/qbgSwEuX.jpg","View")</f>
        <v>View</v>
      </c>
    </row>
    <row r="2406" spans="1:21" ht="30.6">
      <c r="A2406" s="6">
        <v>43435.866770833338</v>
      </c>
      <c r="B2406" s="7" t="str">
        <f>HYPERLINK("https://twitter.com/javigild","@javigild")</f>
        <v>@javigild</v>
      </c>
      <c r="C2406" s="8" t="s">
        <v>8187</v>
      </c>
      <c r="D2406" s="9" t="s">
        <v>8188</v>
      </c>
      <c r="E2406" s="10" t="str">
        <f>HYPERLINK("https://twitter.com/javigild/status/1068954926720667649","1068954926720667649")</f>
        <v>1068954926720667649</v>
      </c>
      <c r="F2406" s="12"/>
      <c r="G2406" s="12"/>
      <c r="H2406" s="12"/>
      <c r="I2406" s="13">
        <v>0</v>
      </c>
      <c r="J2406" s="13">
        <v>5</v>
      </c>
      <c r="K2406" s="14" t="str">
        <f>HYPERLINK("http://twitter.com/download/iphone","Twitter for iPhone")</f>
        <v>Twitter for iPhone</v>
      </c>
      <c r="L2406" s="13">
        <v>245</v>
      </c>
      <c r="M2406" s="13">
        <v>177</v>
      </c>
      <c r="N2406" s="13">
        <v>16</v>
      </c>
      <c r="O2406" s="15"/>
      <c r="P2406" s="6">
        <v>40575.062650462962</v>
      </c>
      <c r="Q2406" s="16" t="s">
        <v>611</v>
      </c>
      <c r="R2406" s="17" t="s">
        <v>8189</v>
      </c>
      <c r="S2406" s="11" t="s">
        <v>8190</v>
      </c>
      <c r="T2406" s="12"/>
      <c r="U2406" s="10" t="str">
        <f>HYPERLINK("https://pbs.twimg.com/profile_images/1070782116445782016/T7ghES3k.jpg","View")</f>
        <v>View</v>
      </c>
    </row>
    <row r="2407" spans="1:21" ht="40.799999999999997">
      <c r="A2407" s="6">
        <v>43435.865312499998</v>
      </c>
      <c r="B2407" s="7" t="str">
        <f>HYPERLINK("https://twitter.com/jzuazola","@jzuazola")</f>
        <v>@jzuazola</v>
      </c>
      <c r="C2407" s="8" t="s">
        <v>5749</v>
      </c>
      <c r="D2407" s="9" t="s">
        <v>8191</v>
      </c>
      <c r="E2407" s="10" t="str">
        <f>HYPERLINK("https://twitter.com/jzuazola/status/1068954397160456192","1068954397160456192")</f>
        <v>1068954397160456192</v>
      </c>
      <c r="F2407" s="11" t="s">
        <v>8192</v>
      </c>
      <c r="G2407" s="12"/>
      <c r="H2407" s="12"/>
      <c r="I2407" s="13">
        <v>0</v>
      </c>
      <c r="J2407" s="13">
        <v>0</v>
      </c>
      <c r="K2407" s="14" t="str">
        <f>HYPERLINK("http://www.facebook.com/twitter","Facebook")</f>
        <v>Facebook</v>
      </c>
      <c r="L2407" s="13">
        <v>1662</v>
      </c>
      <c r="M2407" s="13">
        <v>4777</v>
      </c>
      <c r="N2407" s="13">
        <v>123</v>
      </c>
      <c r="O2407" s="15"/>
      <c r="P2407" s="6">
        <v>39941.545381944445</v>
      </c>
      <c r="Q2407" s="16" t="s">
        <v>5751</v>
      </c>
      <c r="R2407" s="17" t="s">
        <v>5752</v>
      </c>
      <c r="S2407" s="12"/>
      <c r="T2407" s="12"/>
      <c r="U2407" s="10" t="str">
        <f>HYPERLINK("https://pbs.twimg.com/profile_images/1392816248/jzuazola_profile_from_David_sin_ojeras.jpg","View")</f>
        <v>View</v>
      </c>
    </row>
    <row r="2408" spans="1:21" ht="30.6">
      <c r="A2408" s="6">
        <v>43435.864247685182</v>
      </c>
      <c r="B2408" s="7" t="str">
        <f>HYPERLINK("https://twitter.com/laluchapa","@laluchapa")</f>
        <v>@laluchapa</v>
      </c>
      <c r="C2408" s="8" t="s">
        <v>8193</v>
      </c>
      <c r="D2408" s="9" t="s">
        <v>8194</v>
      </c>
      <c r="E2408" s="10" t="str">
        <f>HYPERLINK("https://twitter.com/laluchapa/status/1068954013436129281","1068954013436129281")</f>
        <v>1068954013436129281</v>
      </c>
      <c r="F2408" s="11" t="s">
        <v>8195</v>
      </c>
      <c r="G2408" s="12"/>
      <c r="H2408" s="12"/>
      <c r="I2408" s="13">
        <v>0</v>
      </c>
      <c r="J2408" s="13">
        <v>1</v>
      </c>
      <c r="K2408" s="14" t="str">
        <f>HYPERLINK("http://twitter.com","Twitter Web Client")</f>
        <v>Twitter Web Client</v>
      </c>
      <c r="L2408" s="13">
        <v>3412</v>
      </c>
      <c r="M2408" s="13">
        <v>3406</v>
      </c>
      <c r="N2408" s="13">
        <v>24</v>
      </c>
      <c r="O2408" s="15"/>
      <c r="P2408" s="6">
        <v>40680.757268518515</v>
      </c>
      <c r="Q2408" s="16" t="s">
        <v>48</v>
      </c>
      <c r="R2408" s="17" t="s">
        <v>8196</v>
      </c>
      <c r="S2408" s="12"/>
      <c r="T2408" s="12"/>
      <c r="U2408" s="10" t="str">
        <f>HYPERLINK("https://pbs.twimg.com/profile_images/668846620843356160/WaK1YjED.jpg","View")</f>
        <v>View</v>
      </c>
    </row>
    <row r="2409" spans="1:21" ht="40.799999999999997">
      <c r="A2409" s="6">
        <v>43435.860775462963</v>
      </c>
      <c r="B2409" s="7" t="str">
        <f>HYPERLINK("https://twitter.com/danielsenderos","@danielsenderos")</f>
        <v>@danielsenderos</v>
      </c>
      <c r="C2409" s="8" t="s">
        <v>8197</v>
      </c>
      <c r="D2409" s="9" t="s">
        <v>8198</v>
      </c>
      <c r="E2409" s="10" t="str">
        <f>HYPERLINK("https://twitter.com/danielsenderos/status/1068952754020904960","1068952754020904960")</f>
        <v>1068952754020904960</v>
      </c>
      <c r="F2409" s="11" t="s">
        <v>8020</v>
      </c>
      <c r="G2409" s="12"/>
      <c r="H2409" s="12"/>
      <c r="I2409" s="13">
        <v>49</v>
      </c>
      <c r="J2409" s="13">
        <v>32</v>
      </c>
      <c r="K2409" s="14" t="str">
        <f>HYPERLINK("http://twitter.com/download/android","Twitter for Android")</f>
        <v>Twitter for Android</v>
      </c>
      <c r="L2409" s="13">
        <v>23154</v>
      </c>
      <c r="M2409" s="13">
        <v>20361</v>
      </c>
      <c r="N2409" s="13">
        <v>221</v>
      </c>
      <c r="O2409" s="15"/>
      <c r="P2409" s="6">
        <v>41911.381203703706</v>
      </c>
      <c r="Q2409" s="16" t="s">
        <v>8199</v>
      </c>
      <c r="R2409" s="17" t="s">
        <v>8200</v>
      </c>
      <c r="S2409" s="11" t="s">
        <v>8201</v>
      </c>
      <c r="T2409" s="12"/>
      <c r="U2409" s="10" t="str">
        <f>HYPERLINK("https://pbs.twimg.com/profile_images/1065209598586564613/QOi02EBe.jpg","View")</f>
        <v>View</v>
      </c>
    </row>
    <row r="2410" spans="1:21" ht="30.6">
      <c r="A2410" s="6">
        <v>43435.85456018518</v>
      </c>
      <c r="B2410" s="7" t="str">
        <f>HYPERLINK("https://twitter.com/ecanrog","@ecanrog")</f>
        <v>@ecanrog</v>
      </c>
      <c r="C2410" s="8" t="s">
        <v>8202</v>
      </c>
      <c r="D2410" s="9" t="s">
        <v>8203</v>
      </c>
      <c r="E2410" s="10" t="str">
        <f>HYPERLINK("https://twitter.com/ecanrog/status/1068950501327323137","1068950501327323137")</f>
        <v>1068950501327323137</v>
      </c>
      <c r="F2410" s="12"/>
      <c r="G2410" s="11" t="s">
        <v>8204</v>
      </c>
      <c r="H2410" s="12"/>
      <c r="I2410" s="13">
        <v>0</v>
      </c>
      <c r="J2410" s="13">
        <v>2</v>
      </c>
      <c r="K2410" s="14" t="str">
        <f>HYPERLINK("http://twitter.com","Twitter Web Client")</f>
        <v>Twitter Web Client</v>
      </c>
      <c r="L2410" s="13">
        <v>4357</v>
      </c>
      <c r="M2410" s="13">
        <v>709</v>
      </c>
      <c r="N2410" s="13">
        <v>157</v>
      </c>
      <c r="O2410" s="15"/>
      <c r="P2410" s="6">
        <v>40682.502291666664</v>
      </c>
      <c r="Q2410" s="12"/>
      <c r="R2410" s="20"/>
      <c r="S2410" s="12"/>
      <c r="T2410" s="12"/>
      <c r="U2410" s="10" t="str">
        <f>HYPERLINK("https://pbs.twimg.com/profile_images/1065365395975139328/EfvQbAwy.jpg","View")</f>
        <v>View</v>
      </c>
    </row>
    <row r="2411" spans="1:21" ht="20.399999999999999">
      <c r="A2411" s="6">
        <v>43435.854166666672</v>
      </c>
      <c r="B2411" s="7" t="str">
        <f>HYPERLINK("https://twitter.com/GaliciaMundiari","@GaliciaMundiari")</f>
        <v>@GaliciaMundiari</v>
      </c>
      <c r="C2411" s="8" t="s">
        <v>565</v>
      </c>
      <c r="D2411" s="9" t="s">
        <v>5855</v>
      </c>
      <c r="E2411" s="10" t="str">
        <f>HYPERLINK("https://twitter.com/GaliciaMundiari/status/1068950360352419841","1068950360352419841")</f>
        <v>1068950360352419841</v>
      </c>
      <c r="F2411" s="11" t="s">
        <v>5856</v>
      </c>
      <c r="G2411" s="12"/>
      <c r="H2411" s="12"/>
      <c r="I2411" s="13">
        <v>0</v>
      </c>
      <c r="J2411" s="13">
        <v>0</v>
      </c>
      <c r="K2411" s="14" t="str">
        <f>HYPERLINK("https://about.twitter.com/products/tweetdeck","TweetDeck")</f>
        <v>TweetDeck</v>
      </c>
      <c r="L2411" s="13">
        <v>731</v>
      </c>
      <c r="M2411" s="13">
        <v>1487</v>
      </c>
      <c r="N2411" s="13">
        <v>31</v>
      </c>
      <c r="O2411" s="15"/>
      <c r="P2411" s="6">
        <v>41311.572812500002</v>
      </c>
      <c r="Q2411" s="16" t="s">
        <v>568</v>
      </c>
      <c r="R2411" s="17" t="s">
        <v>569</v>
      </c>
      <c r="S2411" s="11" t="s">
        <v>570</v>
      </c>
      <c r="T2411" s="12"/>
      <c r="U2411" s="10" t="str">
        <f>HYPERLINK("https://pbs.twimg.com/profile_images/983440522390929408/Q4V9I05R.jpg","View")</f>
        <v>View</v>
      </c>
    </row>
    <row r="2412" spans="1:21" ht="20.399999999999999">
      <c r="A2412" s="6">
        <v>43435.853101851855</v>
      </c>
      <c r="B2412" s="7" t="str">
        <f>HYPERLINK("https://twitter.com/Beyonded","@Beyonded")</f>
        <v>@Beyonded</v>
      </c>
      <c r="C2412" s="8" t="s">
        <v>8205</v>
      </c>
      <c r="D2412" s="9" t="s">
        <v>8141</v>
      </c>
      <c r="E2412" s="10" t="str">
        <f>HYPERLINK("https://twitter.com/Beyonded/status/1068949971699990529","1068949971699990529")</f>
        <v>1068949971699990529</v>
      </c>
      <c r="F2412" s="11" t="s">
        <v>7875</v>
      </c>
      <c r="G2412" s="12"/>
      <c r="H2412" s="12"/>
      <c r="I2412" s="13">
        <v>0</v>
      </c>
      <c r="J2412" s="13">
        <v>0</v>
      </c>
      <c r="K2412" s="14" t="str">
        <f>HYPERLINK("http://twitter.com/download/android","Twitter for Android")</f>
        <v>Twitter for Android</v>
      </c>
      <c r="L2412" s="13">
        <v>518</v>
      </c>
      <c r="M2412" s="13">
        <v>1922</v>
      </c>
      <c r="N2412" s="13">
        <v>11</v>
      </c>
      <c r="O2412" s="15"/>
      <c r="P2412" s="6">
        <v>39177.39780092593</v>
      </c>
      <c r="Q2412" s="16" t="s">
        <v>1455</v>
      </c>
      <c r="R2412" s="20"/>
      <c r="S2412" s="12"/>
      <c r="T2412" s="12"/>
      <c r="U2412" s="10" t="str">
        <f>HYPERLINK("https://pbs.twimg.com/profile_images/17813872/d.jpg","View")</f>
        <v>View</v>
      </c>
    </row>
    <row r="2413" spans="1:21" ht="30.6">
      <c r="A2413" s="6">
        <v>43435.84175925926</v>
      </c>
      <c r="B2413" s="7" t="str">
        <f>HYPERLINK("https://twitter.com/Rafaelfiglesias","@Rafaelfiglesias")</f>
        <v>@Rafaelfiglesias</v>
      </c>
      <c r="C2413" s="8" t="s">
        <v>8206</v>
      </c>
      <c r="D2413" s="9" t="s">
        <v>8207</v>
      </c>
      <c r="E2413" s="10" t="str">
        <f>HYPERLINK("https://twitter.com/Rafaelfiglesias/status/1068945863421104128","1068945863421104128")</f>
        <v>1068945863421104128</v>
      </c>
      <c r="F2413" s="11" t="s">
        <v>8208</v>
      </c>
      <c r="G2413" s="12"/>
      <c r="H2413" s="12"/>
      <c r="I2413" s="13">
        <v>0</v>
      </c>
      <c r="J2413" s="13">
        <v>1</v>
      </c>
      <c r="K2413" s="14" t="str">
        <f>HYPERLINK("http://twitter.com","Twitter Web Client")</f>
        <v>Twitter Web Client</v>
      </c>
      <c r="L2413" s="13">
        <v>1052</v>
      </c>
      <c r="M2413" s="13">
        <v>967</v>
      </c>
      <c r="N2413" s="13">
        <v>13</v>
      </c>
      <c r="O2413" s="15"/>
      <c r="P2413" s="6">
        <v>40531.729375000003</v>
      </c>
      <c r="Q2413" s="16" t="s">
        <v>8209</v>
      </c>
      <c r="R2413" s="17" t="s">
        <v>8210</v>
      </c>
      <c r="S2413" s="11" t="s">
        <v>8211</v>
      </c>
      <c r="T2413" s="12"/>
      <c r="U2413" s="10" t="str">
        <f>HYPERLINK("https://pbs.twimg.com/profile_images/796108645503213569/ms0nX-so.jpg","View")</f>
        <v>View</v>
      </c>
    </row>
    <row r="2414" spans="1:21" ht="40.799999999999997">
      <c r="A2414" s="6">
        <v>43435.840277777781</v>
      </c>
      <c r="B2414" s="7" t="str">
        <f>HYPERLINK("https://twitter.com/abc_gente","@abc_gente")</f>
        <v>@abc_gente</v>
      </c>
      <c r="C2414" s="8" t="s">
        <v>8212</v>
      </c>
      <c r="D2414" s="9" t="s">
        <v>8213</v>
      </c>
      <c r="E2414" s="10" t="str">
        <f>HYPERLINK("https://twitter.com/abc_gente/status/1068945327447842816","1068945327447842816")</f>
        <v>1068945327447842816</v>
      </c>
      <c r="F2414" s="11" t="s">
        <v>8214</v>
      </c>
      <c r="G2414" s="12"/>
      <c r="H2414" s="12"/>
      <c r="I2414" s="13">
        <v>0</v>
      </c>
      <c r="J2414" s="13">
        <v>0</v>
      </c>
      <c r="K2414" s="14" t="str">
        <f>HYPERLINK("http://dogtrack.es","DogTrack_Oficial")</f>
        <v>DogTrack_Oficial</v>
      </c>
      <c r="L2414" s="13">
        <v>9716</v>
      </c>
      <c r="M2414" s="13">
        <v>989</v>
      </c>
      <c r="N2414" s="13">
        <v>173</v>
      </c>
      <c r="O2414" s="19" t="s">
        <v>44</v>
      </c>
      <c r="P2414" s="6">
        <v>39294.688344907408</v>
      </c>
      <c r="Q2414" s="16" t="s">
        <v>191</v>
      </c>
      <c r="R2414" s="17" t="s">
        <v>8215</v>
      </c>
      <c r="S2414" s="11" t="s">
        <v>8216</v>
      </c>
      <c r="T2414" s="12"/>
      <c r="U2414" s="10" t="str">
        <f>HYPERLINK("https://pbs.twimg.com/profile_images/659711512387395584/09i2c_sm.png","View")</f>
        <v>View</v>
      </c>
    </row>
    <row r="2415" spans="1:21" ht="30.6">
      <c r="A2415" s="6">
        <v>43435.825787037036</v>
      </c>
      <c r="B2415" s="7" t="str">
        <f>HYPERLINK("https://twitter.com/Mikytoytoy","@Mikytoytoy")</f>
        <v>@Mikytoytoy</v>
      </c>
      <c r="C2415" s="8" t="s">
        <v>7942</v>
      </c>
      <c r="D2415" s="9" t="s">
        <v>4669</v>
      </c>
      <c r="E2415" s="10" t="str">
        <f>HYPERLINK("https://twitter.com/Mikytoytoy/status/1068940076388884481","1068940076388884481")</f>
        <v>1068940076388884481</v>
      </c>
      <c r="F2415" s="11" t="s">
        <v>8217</v>
      </c>
      <c r="G2415" s="12"/>
      <c r="H2415" s="12"/>
      <c r="I2415" s="13">
        <v>0</v>
      </c>
      <c r="J2415" s="13">
        <v>0</v>
      </c>
      <c r="K2415" s="14" t="str">
        <f>HYPERLINK("http://www.facebook.com/twitter","Facebook")</f>
        <v>Facebook</v>
      </c>
      <c r="L2415" s="13">
        <v>224</v>
      </c>
      <c r="M2415" s="13">
        <v>593</v>
      </c>
      <c r="N2415" s="13">
        <v>10</v>
      </c>
      <c r="O2415" s="15"/>
      <c r="P2415" s="6">
        <v>40188.553842592592</v>
      </c>
      <c r="Q2415" s="16" t="s">
        <v>7945</v>
      </c>
      <c r="R2415" s="17" t="s">
        <v>7946</v>
      </c>
      <c r="S2415" s="11" t="s">
        <v>7947</v>
      </c>
      <c r="T2415" s="12"/>
      <c r="U2415" s="10" t="str">
        <f>HYPERLINK("https://pbs.twimg.com/profile_images/1069121889782636544/tIqOTAmE.jpg","View")</f>
        <v>View</v>
      </c>
    </row>
    <row r="2416" spans="1:21" ht="20.399999999999999">
      <c r="A2416" s="6">
        <v>43435.824976851851</v>
      </c>
      <c r="B2416" s="7" t="str">
        <f>HYPERLINK("https://twitter.com/CGdlV","@CGdlV")</f>
        <v>@CGdlV</v>
      </c>
      <c r="C2416" s="8" t="s">
        <v>8218</v>
      </c>
      <c r="D2416" s="9" t="s">
        <v>8219</v>
      </c>
      <c r="E2416" s="10" t="str">
        <f>HYPERLINK("https://twitter.com/CGdlV/status/1068939781508423680","1068939781508423680")</f>
        <v>1068939781508423680</v>
      </c>
      <c r="F2416" s="12"/>
      <c r="G2416" s="12"/>
      <c r="H2416" s="12"/>
      <c r="I2416" s="13">
        <v>1</v>
      </c>
      <c r="J2416" s="13">
        <v>10</v>
      </c>
      <c r="K2416" s="14" t="str">
        <f>HYPERLINK("http://twitter.com/download/iphone","Twitter for iPhone")</f>
        <v>Twitter for iPhone</v>
      </c>
      <c r="L2416" s="13">
        <v>1802</v>
      </c>
      <c r="M2416" s="13">
        <v>1242</v>
      </c>
      <c r="N2416" s="13">
        <v>35</v>
      </c>
      <c r="O2416" s="15"/>
      <c r="P2416" s="6">
        <v>40355.87871527778</v>
      </c>
      <c r="Q2416" s="16" t="s">
        <v>8220</v>
      </c>
      <c r="R2416" s="17" t="s">
        <v>8221</v>
      </c>
      <c r="S2416" s="12"/>
      <c r="T2416" s="12"/>
      <c r="U2416" s="10" t="str">
        <f>HYPERLINK("https://pbs.twimg.com/profile_images/1029789437163712512/BG-PTgf1.jpg","View")</f>
        <v>View</v>
      </c>
    </row>
    <row r="2417" spans="1:21" ht="30.6">
      <c r="A2417" s="6">
        <v>43435.824270833335</v>
      </c>
      <c r="B2417" s="7" t="str">
        <f>HYPERLINK("https://twitter.com/sipea12","@sipea12")</f>
        <v>@sipea12</v>
      </c>
      <c r="C2417" s="8" t="s">
        <v>7813</v>
      </c>
      <c r="D2417" s="9" t="s">
        <v>8222</v>
      </c>
      <c r="E2417" s="10" t="str">
        <f>HYPERLINK("https://twitter.com/sipea12/status/1068939526155001856","1068939526155001856")</f>
        <v>1068939526155001856</v>
      </c>
      <c r="F2417" s="11" t="s">
        <v>5361</v>
      </c>
      <c r="G2417" s="12"/>
      <c r="H2417" s="12"/>
      <c r="I2417" s="13">
        <v>2</v>
      </c>
      <c r="J2417" s="13">
        <v>2</v>
      </c>
      <c r="K2417" s="14" t="str">
        <f>HYPERLINK("http://twitter.com/download/android","Twitter for Android")</f>
        <v>Twitter for Android</v>
      </c>
      <c r="L2417" s="13">
        <v>1593</v>
      </c>
      <c r="M2417" s="13">
        <v>1398</v>
      </c>
      <c r="N2417" s="13">
        <v>19</v>
      </c>
      <c r="O2417" s="15"/>
      <c r="P2417" s="6">
        <v>42711.738750000004</v>
      </c>
      <c r="Q2417" s="16" t="s">
        <v>7815</v>
      </c>
      <c r="R2417" s="20"/>
      <c r="S2417" s="12"/>
      <c r="T2417" s="12"/>
      <c r="U2417" s="10" t="str">
        <f>HYPERLINK("https://pbs.twimg.com/profile_images/1071163618266370053/njRH_OWO.jpg","View")</f>
        <v>View</v>
      </c>
    </row>
    <row r="2418" spans="1:21" ht="30.6">
      <c r="A2418" s="6">
        <v>43435.823831018519</v>
      </c>
      <c r="B2418" s="7" t="str">
        <f>HYPERLINK("https://twitter.com/fonky65","@fonky65")</f>
        <v>@fonky65</v>
      </c>
      <c r="C2418" s="8" t="s">
        <v>3755</v>
      </c>
      <c r="D2418" s="9" t="s">
        <v>8223</v>
      </c>
      <c r="E2418" s="10" t="str">
        <f>HYPERLINK("https://twitter.com/fonky65/status/1068939367115366400","1068939367115366400")</f>
        <v>1068939367115366400</v>
      </c>
      <c r="F2418" s="11" t="s">
        <v>8224</v>
      </c>
      <c r="G2418" s="12"/>
      <c r="H2418" s="12"/>
      <c r="I2418" s="13">
        <v>0</v>
      </c>
      <c r="J2418" s="13">
        <v>0</v>
      </c>
      <c r="K2418" s="14" t="str">
        <f>HYPERLINK("http://twitter.com","Twitter Web Client")</f>
        <v>Twitter Web Client</v>
      </c>
      <c r="L2418" s="13">
        <v>682</v>
      </c>
      <c r="M2418" s="13">
        <v>554</v>
      </c>
      <c r="N2418" s="13">
        <v>15</v>
      </c>
      <c r="O2418" s="15"/>
      <c r="P2418" s="6">
        <v>40780.875659722224</v>
      </c>
      <c r="Q2418" s="12"/>
      <c r="R2418" s="17" t="s">
        <v>3756</v>
      </c>
      <c r="S2418" s="12"/>
      <c r="T2418" s="12"/>
      <c r="U2418" s="10" t="str">
        <f>HYPERLINK("https://pbs.twimg.com/profile_images/985051760355168256/JM7krMgw.jpg","View")</f>
        <v>View</v>
      </c>
    </row>
    <row r="2419" spans="1:21" ht="40.799999999999997">
      <c r="A2419" s="6">
        <v>43435.82331018518</v>
      </c>
      <c r="B2419" s="7" t="str">
        <f>HYPERLINK("https://twitter.com/juananpaez","@juananpaez")</f>
        <v>@juananpaez</v>
      </c>
      <c r="C2419" s="8" t="s">
        <v>8225</v>
      </c>
      <c r="D2419" s="9" t="s">
        <v>8226</v>
      </c>
      <c r="E2419" s="10" t="str">
        <f>HYPERLINK("https://twitter.com/juananpaez/status/1068939178526822400","1068939178526822400")</f>
        <v>1068939178526822400</v>
      </c>
      <c r="F2419" s="11" t="s">
        <v>8227</v>
      </c>
      <c r="G2419" s="12"/>
      <c r="H2419" s="12"/>
      <c r="I2419" s="13">
        <v>0</v>
      </c>
      <c r="J2419" s="13">
        <v>0</v>
      </c>
      <c r="K2419" s="14" t="str">
        <f>HYPERLINK("http://twitter.com/download/iphone","Twitter for iPhone")</f>
        <v>Twitter for iPhone</v>
      </c>
      <c r="L2419" s="13">
        <v>176</v>
      </c>
      <c r="M2419" s="13">
        <v>194</v>
      </c>
      <c r="N2419" s="13">
        <v>8</v>
      </c>
      <c r="O2419" s="15"/>
      <c r="P2419" s="6">
        <v>39891.904756944445</v>
      </c>
      <c r="Q2419" s="16" t="s">
        <v>8228</v>
      </c>
      <c r="R2419" s="17" t="s">
        <v>8229</v>
      </c>
      <c r="S2419" s="11" t="s">
        <v>8230</v>
      </c>
      <c r="T2419" s="12"/>
      <c r="U2419" s="10" t="str">
        <f>HYPERLINK("https://pbs.twimg.com/profile_images/378800000661005346/87664eecb59702c2ac868c0bfca830ab.jpeg","View")</f>
        <v>View</v>
      </c>
    </row>
    <row r="2420" spans="1:21" ht="30.6">
      <c r="A2420" s="6">
        <v>43435.823229166665</v>
      </c>
      <c r="B2420" s="7" t="str">
        <f>HYPERLINK("https://twitter.com/BeaIzuel","@BeaIzuel")</f>
        <v>@BeaIzuel</v>
      </c>
      <c r="C2420" s="8" t="s">
        <v>8231</v>
      </c>
      <c r="D2420" s="9" t="s">
        <v>8232</v>
      </c>
      <c r="E2420" s="10" t="str">
        <f>HYPERLINK("https://twitter.com/BeaIzuel/status/1068939149833633793","1068939149833633793")</f>
        <v>1068939149833633793</v>
      </c>
      <c r="F2420" s="12"/>
      <c r="G2420" s="12"/>
      <c r="H2420" s="12"/>
      <c r="I2420" s="13">
        <v>3</v>
      </c>
      <c r="J2420" s="13">
        <v>15</v>
      </c>
      <c r="K2420" s="14" t="str">
        <f>HYPERLINK("http://twitter.com/download/android","Twitter for Android")</f>
        <v>Twitter for Android</v>
      </c>
      <c r="L2420" s="13">
        <v>1002</v>
      </c>
      <c r="M2420" s="13">
        <v>835</v>
      </c>
      <c r="N2420" s="13">
        <v>22</v>
      </c>
      <c r="O2420" s="15"/>
      <c r="P2420" s="6">
        <v>40853.466863425929</v>
      </c>
      <c r="Q2420" s="16" t="s">
        <v>8233</v>
      </c>
      <c r="R2420" s="17" t="s">
        <v>8234</v>
      </c>
      <c r="S2420" s="12"/>
      <c r="T2420" s="12"/>
      <c r="U2420" s="10" t="str">
        <f>HYPERLINK("https://pbs.twimg.com/profile_images/1069714288418398209/I0PT-qaU.jpg","View")</f>
        <v>View</v>
      </c>
    </row>
    <row r="2421" spans="1:21" ht="40.799999999999997">
      <c r="A2421" s="6">
        <v>43435.821481481486</v>
      </c>
      <c r="B2421" s="7" t="str">
        <f>HYPERLINK("https://twitter.com/SENECA_HH","@SENECA_HH")</f>
        <v>@SENECA_HH</v>
      </c>
      <c r="C2421" s="8" t="s">
        <v>3696</v>
      </c>
      <c r="D2421" s="9" t="s">
        <v>8235</v>
      </c>
      <c r="E2421" s="10" t="str">
        <f>HYPERLINK("https://twitter.com/SENECA_HH/status/1068938515654807559","1068938515654807559")</f>
        <v>1068938515654807559</v>
      </c>
      <c r="F2421" s="11" t="s">
        <v>7497</v>
      </c>
      <c r="G2421" s="12"/>
      <c r="H2421" s="12"/>
      <c r="I2421" s="13">
        <v>0</v>
      </c>
      <c r="J2421" s="13">
        <v>0</v>
      </c>
      <c r="K2421" s="14" t="str">
        <f t="shared" ref="K2421:K2422" si="432">HYPERLINK("http://twitter.com","Twitter Web Client")</f>
        <v>Twitter Web Client</v>
      </c>
      <c r="L2421" s="13">
        <v>1382</v>
      </c>
      <c r="M2421" s="13">
        <v>972</v>
      </c>
      <c r="N2421" s="13">
        <v>25</v>
      </c>
      <c r="O2421" s="15"/>
      <c r="P2421" s="6">
        <v>40944.904756944445</v>
      </c>
      <c r="Q2421" s="16" t="s">
        <v>48</v>
      </c>
      <c r="R2421" s="17" t="s">
        <v>3699</v>
      </c>
      <c r="S2421" s="12"/>
      <c r="T2421" s="12"/>
      <c r="U2421" s="10" t="str">
        <f>HYPERLINK("https://pbs.twimg.com/profile_images/1006505117884076033/HyYIq-WV.jpg","View")</f>
        <v>View</v>
      </c>
    </row>
    <row r="2422" spans="1:21" ht="40.799999999999997">
      <c r="A2422" s="6">
        <v>43435.8122337963</v>
      </c>
      <c r="B2422" s="7" t="str">
        <f>HYPERLINK("https://twitter.com/PedroGuillem","@PedroGuillem")</f>
        <v>@PedroGuillem</v>
      </c>
      <c r="C2422" s="8" t="s">
        <v>8236</v>
      </c>
      <c r="D2422" s="9" t="s">
        <v>8237</v>
      </c>
      <c r="E2422" s="10" t="str">
        <f>HYPERLINK("https://twitter.com/PedroGuillem/status/1068935162656886784","1068935162656886784")</f>
        <v>1068935162656886784</v>
      </c>
      <c r="F2422" s="11" t="s">
        <v>8238</v>
      </c>
      <c r="G2422" s="12"/>
      <c r="H2422" s="12"/>
      <c r="I2422" s="13">
        <v>0</v>
      </c>
      <c r="J2422" s="13">
        <v>0</v>
      </c>
      <c r="K2422" s="14" t="str">
        <f t="shared" si="432"/>
        <v>Twitter Web Client</v>
      </c>
      <c r="L2422" s="13">
        <v>437</v>
      </c>
      <c r="M2422" s="13">
        <v>1512</v>
      </c>
      <c r="N2422" s="13">
        <v>0</v>
      </c>
      <c r="O2422" s="15"/>
      <c r="P2422" s="6">
        <v>42089.980358796296</v>
      </c>
      <c r="Q2422" s="16" t="s">
        <v>3578</v>
      </c>
      <c r="R2422" s="17" t="s">
        <v>8239</v>
      </c>
      <c r="S2422" s="12"/>
      <c r="T2422" s="12"/>
      <c r="U2422" s="10" t="str">
        <f>HYPERLINK("https://pbs.twimg.com/profile_images/966636555120140288/-Dq2JIBy.jpg","View")</f>
        <v>View</v>
      </c>
    </row>
    <row r="2423" spans="1:21" ht="40.799999999999997">
      <c r="A2423" s="6">
        <v>43435.803668981476</v>
      </c>
      <c r="B2423" s="7" t="str">
        <f>HYPERLINK("https://twitter.com/doblegon","@doblegon")</f>
        <v>@doblegon</v>
      </c>
      <c r="C2423" s="8" t="s">
        <v>8240</v>
      </c>
      <c r="D2423" s="9" t="s">
        <v>8241</v>
      </c>
      <c r="E2423" s="10" t="str">
        <f>HYPERLINK("https://twitter.com/doblegon/status/1068932060549718016","1068932060549718016")</f>
        <v>1068932060549718016</v>
      </c>
      <c r="F2423" s="11" t="s">
        <v>8242</v>
      </c>
      <c r="G2423" s="12"/>
      <c r="H2423" s="12"/>
      <c r="I2423" s="13">
        <v>0</v>
      </c>
      <c r="J2423" s="13">
        <v>0</v>
      </c>
      <c r="K2423" s="14" t="str">
        <f>HYPERLINK("https://mobile.twitter.com","Twitter Lite")</f>
        <v>Twitter Lite</v>
      </c>
      <c r="L2423" s="13">
        <v>154</v>
      </c>
      <c r="M2423" s="13">
        <v>292</v>
      </c>
      <c r="N2423" s="13">
        <v>0</v>
      </c>
      <c r="O2423" s="15"/>
      <c r="P2423" s="6">
        <v>43398.983530092592</v>
      </c>
      <c r="Q2423" s="16" t="s">
        <v>8243</v>
      </c>
      <c r="R2423" s="17" t="s">
        <v>8244</v>
      </c>
      <c r="S2423" s="12"/>
      <c r="T2423" s="12"/>
      <c r="U2423" s="10" t="str">
        <f>HYPERLINK("https://pbs.twimg.com/profile_images/1066806877718220800/YQNBRHKU.jpg","View")</f>
        <v>View</v>
      </c>
    </row>
    <row r="2424" spans="1:21" ht="51">
      <c r="A2424" s="6">
        <v>43435.800092592588</v>
      </c>
      <c r="B2424" s="7" t="str">
        <f>HYPERLINK("https://twitter.com/GmezRecio","@GmezRecio")</f>
        <v>@GmezRecio</v>
      </c>
      <c r="C2424" s="8" t="s">
        <v>8245</v>
      </c>
      <c r="D2424" s="9" t="s">
        <v>8246</v>
      </c>
      <c r="E2424" s="10" t="str">
        <f>HYPERLINK("https://twitter.com/GmezRecio/status/1068930763813474304","1068930763813474304")</f>
        <v>1068930763813474304</v>
      </c>
      <c r="F2424" s="16" t="s">
        <v>4720</v>
      </c>
      <c r="G2424" s="12"/>
      <c r="H2424" s="12"/>
      <c r="I2424" s="13">
        <v>2</v>
      </c>
      <c r="J2424" s="13">
        <v>2</v>
      </c>
      <c r="K2424" s="14" t="str">
        <f t="shared" ref="K2424:K2425" si="433">HYPERLINK("http://twitter.com/download/android","Twitter for Android")</f>
        <v>Twitter for Android</v>
      </c>
      <c r="L2424" s="13">
        <v>73</v>
      </c>
      <c r="M2424" s="13">
        <v>164</v>
      </c>
      <c r="N2424" s="13">
        <v>0</v>
      </c>
      <c r="O2424" s="15"/>
      <c r="P2424" s="6">
        <v>40956.462939814817</v>
      </c>
      <c r="Q2424" s="16" t="s">
        <v>1961</v>
      </c>
      <c r="R2424" s="17" t="s">
        <v>8247</v>
      </c>
      <c r="S2424" s="12"/>
      <c r="T2424" s="12"/>
      <c r="U2424" s="10" t="str">
        <f>HYPERLINK("https://pbs.twimg.com/profile_images/1833367856/nunca_te_rindas_34.jpg","View")</f>
        <v>View</v>
      </c>
    </row>
    <row r="2425" spans="1:21" ht="51">
      <c r="A2425" s="6">
        <v>43435.796273148153</v>
      </c>
      <c r="B2425" s="7" t="str">
        <f>HYPERLINK("https://twitter.com/rrobadomucho","@rrobadomucho")</f>
        <v>@rrobadomucho</v>
      </c>
      <c r="C2425" s="8" t="s">
        <v>8248</v>
      </c>
      <c r="D2425" s="9" t="s">
        <v>8249</v>
      </c>
      <c r="E2425" s="10" t="str">
        <f>HYPERLINK("https://twitter.com/rrobadomucho/status/1068929380922068992","1068929380922068992")</f>
        <v>1068929380922068992</v>
      </c>
      <c r="F2425" s="12"/>
      <c r="G2425" s="12"/>
      <c r="H2425" s="12"/>
      <c r="I2425" s="13">
        <v>11</v>
      </c>
      <c r="J2425" s="13">
        <v>21</v>
      </c>
      <c r="K2425" s="14" t="str">
        <f t="shared" si="433"/>
        <v>Twitter for Android</v>
      </c>
      <c r="L2425" s="13">
        <v>1206</v>
      </c>
      <c r="M2425" s="13">
        <v>3390</v>
      </c>
      <c r="N2425" s="13">
        <v>5</v>
      </c>
      <c r="O2425" s="15"/>
      <c r="P2425" s="6">
        <v>42542.805625000001</v>
      </c>
      <c r="Q2425" s="12"/>
      <c r="R2425" s="17" t="s">
        <v>8250</v>
      </c>
      <c r="S2425" s="12"/>
      <c r="T2425" s="12"/>
      <c r="U2425" s="10" t="str">
        <f>HYPERLINK("https://pbs.twimg.com/profile_images/1066278858490548229/NfqL9Qm6.jpg","View")</f>
        <v>View</v>
      </c>
    </row>
    <row r="2426" spans="1:21" ht="51">
      <c r="A2426" s="6">
        <v>43435.795763888891</v>
      </c>
      <c r="B2426" s="7" t="str">
        <f>HYPERLINK("https://twitter.com/JLPnosolocine","@JLPnosolocine")</f>
        <v>@JLPnosolocine</v>
      </c>
      <c r="C2426" s="8" t="s">
        <v>8251</v>
      </c>
      <c r="D2426" s="9" t="s">
        <v>8252</v>
      </c>
      <c r="E2426" s="10" t="str">
        <f>HYPERLINK("https://twitter.com/JLPnosolocine/status/1068929197089927168","1068929197089927168")</f>
        <v>1068929197089927168</v>
      </c>
      <c r="F2426" s="16" t="s">
        <v>8253</v>
      </c>
      <c r="G2426" s="12"/>
      <c r="H2426" s="12"/>
      <c r="I2426" s="13">
        <v>0</v>
      </c>
      <c r="J2426" s="13">
        <v>0</v>
      </c>
      <c r="K2426" s="14" t="str">
        <f>HYPERLINK("http://twitter.com","Twitter Web Client")</f>
        <v>Twitter Web Client</v>
      </c>
      <c r="L2426" s="13">
        <v>1576</v>
      </c>
      <c r="M2426" s="13">
        <v>972</v>
      </c>
      <c r="N2426" s="13">
        <v>35</v>
      </c>
      <c r="O2426" s="15"/>
      <c r="P2426" s="6">
        <v>41678.485706018517</v>
      </c>
      <c r="Q2426" s="12"/>
      <c r="R2426" s="17" t="s">
        <v>8254</v>
      </c>
      <c r="S2426" s="11" t="s">
        <v>8255</v>
      </c>
      <c r="T2426" s="12"/>
      <c r="U2426" s="10" t="str">
        <f>HYPERLINK("https://pbs.twimg.com/profile_images/444078626829381632/UDNtFkc8.jpeg","View")</f>
        <v>View</v>
      </c>
    </row>
    <row r="2427" spans="1:21" ht="51">
      <c r="A2427" s="6">
        <v>43435.793009259258</v>
      </c>
      <c r="B2427" s="7" t="str">
        <f>HYPERLINK("https://twitter.com/JC_C_A","@JC_C_A")</f>
        <v>@JC_C_A</v>
      </c>
      <c r="C2427" s="8" t="s">
        <v>630</v>
      </c>
      <c r="D2427" s="9" t="s">
        <v>8256</v>
      </c>
      <c r="E2427" s="10" t="str">
        <f>HYPERLINK("https://twitter.com/JC_C_A/status/1068928196698099712","1068928196698099712")</f>
        <v>1068928196698099712</v>
      </c>
      <c r="F2427" s="12"/>
      <c r="G2427" s="12"/>
      <c r="H2427" s="12"/>
      <c r="I2427" s="13">
        <v>5</v>
      </c>
      <c r="J2427" s="13">
        <v>7</v>
      </c>
      <c r="K2427" s="14" t="str">
        <f>HYPERLINK("http://twitter.com/download/android","Twitter for Android")</f>
        <v>Twitter for Android</v>
      </c>
      <c r="L2427" s="13">
        <v>1535</v>
      </c>
      <c r="M2427" s="13">
        <v>1285</v>
      </c>
      <c r="N2427" s="13">
        <v>4</v>
      </c>
      <c r="O2427" s="15"/>
      <c r="P2427" s="6">
        <v>43055.93885416667</v>
      </c>
      <c r="Q2427" s="16" t="s">
        <v>632</v>
      </c>
      <c r="R2427" s="17" t="s">
        <v>633</v>
      </c>
      <c r="S2427" s="12"/>
      <c r="T2427" s="12"/>
      <c r="U2427" s="10" t="str">
        <f>HYPERLINK("https://pbs.twimg.com/profile_images/1029775179520647169/gj_YgLkP.jpg","View")</f>
        <v>View</v>
      </c>
    </row>
    <row r="2428" spans="1:21" ht="40.799999999999997">
      <c r="A2428" s="6">
        <v>43435.782488425924</v>
      </c>
      <c r="B2428" s="7" t="str">
        <f>HYPERLINK("https://twitter.com/24clm","@24clm")</f>
        <v>@24clm</v>
      </c>
      <c r="C2428" s="21" t="s">
        <v>217</v>
      </c>
      <c r="D2428" s="9" t="s">
        <v>8257</v>
      </c>
      <c r="E2428" s="10" t="str">
        <f>HYPERLINK("https://twitter.com/24clm/status/1068924382410616832","1068924382410616832")</f>
        <v>1068924382410616832</v>
      </c>
      <c r="F2428" s="11" t="s">
        <v>8258</v>
      </c>
      <c r="G2428" s="11" t="s">
        <v>8259</v>
      </c>
      <c r="H2428" s="12"/>
      <c r="I2428" s="13">
        <v>3</v>
      </c>
      <c r="J2428" s="13">
        <v>0</v>
      </c>
      <c r="K2428" s="14" t="str">
        <f>HYPERLINK("http://twitter.com","Twitter Web Client")</f>
        <v>Twitter Web Client</v>
      </c>
      <c r="L2428" s="13">
        <v>31452</v>
      </c>
      <c r="M2428" s="13">
        <v>3225</v>
      </c>
      <c r="N2428" s="13">
        <v>302</v>
      </c>
      <c r="O2428" s="15"/>
      <c r="P2428" s="6">
        <v>41164.737800925926</v>
      </c>
      <c r="Q2428" s="16" t="s">
        <v>220</v>
      </c>
      <c r="R2428" s="17" t="s">
        <v>223</v>
      </c>
      <c r="S2428" s="11" t="s">
        <v>224</v>
      </c>
      <c r="T2428" s="12"/>
      <c r="U2428" s="10" t="str">
        <f>HYPERLINK("https://pbs.twimg.com/profile_images/2602853502/te41074xley2840l5x45.jpeg","View")</f>
        <v>View</v>
      </c>
    </row>
    <row r="2429" spans="1:21" ht="30.6">
      <c r="A2429" s="6">
        <v>43435.7737037037</v>
      </c>
      <c r="B2429" s="7" t="str">
        <f>HYPERLINK("https://twitter.com/smoda","@smoda")</f>
        <v>@smoda</v>
      </c>
      <c r="C2429" s="8" t="s">
        <v>8260</v>
      </c>
      <c r="D2429" s="9" t="s">
        <v>8261</v>
      </c>
      <c r="E2429" s="10" t="str">
        <f>HYPERLINK("https://twitter.com/smoda/status/1068921200477421568","1068921200477421568")</f>
        <v>1068921200477421568</v>
      </c>
      <c r="F2429" s="11" t="s">
        <v>8262</v>
      </c>
      <c r="G2429" s="12"/>
      <c r="H2429" s="12"/>
      <c r="I2429" s="13">
        <v>2</v>
      </c>
      <c r="J2429" s="13">
        <v>10</v>
      </c>
      <c r="K2429" s="14" t="str">
        <f>HYPERLINK("http://twitter.com/download/iphone","Twitter for iPhone")</f>
        <v>Twitter for iPhone</v>
      </c>
      <c r="L2429" s="13">
        <v>337914</v>
      </c>
      <c r="M2429" s="13">
        <v>1268</v>
      </c>
      <c r="N2429" s="13">
        <v>1997</v>
      </c>
      <c r="O2429" s="19" t="s">
        <v>44</v>
      </c>
      <c r="P2429" s="6">
        <v>39994.668796296297</v>
      </c>
      <c r="Q2429" s="16" t="s">
        <v>48</v>
      </c>
      <c r="R2429" s="17" t="s">
        <v>8263</v>
      </c>
      <c r="S2429" s="11" t="s">
        <v>8264</v>
      </c>
      <c r="T2429" s="12"/>
      <c r="U2429" s="10" t="str">
        <f>HYPERLINK("https://pbs.twimg.com/profile_images/881847151059488768/qD1Gn9dw.jpg","View")</f>
        <v>View</v>
      </c>
    </row>
    <row r="2430" spans="1:21" ht="51">
      <c r="A2430" s="6">
        <v>43435.772175925929</v>
      </c>
      <c r="B2430" s="7" t="str">
        <f>HYPERLINK("https://twitter.com/52municipios","@52municipios")</f>
        <v>@52municipios</v>
      </c>
      <c r="C2430" s="8" t="s">
        <v>8265</v>
      </c>
      <c r="D2430" s="9" t="s">
        <v>8266</v>
      </c>
      <c r="E2430" s="10" t="str">
        <f>HYPERLINK("https://twitter.com/52municipios/status/1068920646665687041","1068920646665687041")</f>
        <v>1068920646665687041</v>
      </c>
      <c r="F2430" s="12"/>
      <c r="G2430" s="12"/>
      <c r="H2430" s="12"/>
      <c r="I2430" s="13">
        <v>21</v>
      </c>
      <c r="J2430" s="13">
        <v>29</v>
      </c>
      <c r="K2430" s="14" t="str">
        <f>HYPERLINK("http://twitter.com","Twitter Web Client")</f>
        <v>Twitter Web Client</v>
      </c>
      <c r="L2430" s="13">
        <v>14864</v>
      </c>
      <c r="M2430" s="13">
        <v>10444</v>
      </c>
      <c r="N2430" s="13">
        <v>96</v>
      </c>
      <c r="O2430" s="15"/>
      <c r="P2430" s="6">
        <v>40982.798530092594</v>
      </c>
      <c r="Q2430" s="16" t="s">
        <v>8267</v>
      </c>
      <c r="R2430" s="17" t="s">
        <v>8268</v>
      </c>
      <c r="S2430" s="11" t="s">
        <v>8269</v>
      </c>
      <c r="T2430" s="12"/>
      <c r="U2430" s="10" t="str">
        <f>HYPERLINK("https://pbs.twimg.com/profile_images/754954583374462976/nX2Tdx1P.jpg","View")</f>
        <v>View</v>
      </c>
    </row>
    <row r="2431" spans="1:21" ht="40.799999999999997">
      <c r="A2431" s="6">
        <v>43435.763935185183</v>
      </c>
      <c r="B2431" s="7" t="str">
        <f>HYPERLINK("https://twitter.com/EdwardVernonOld","@EdwardVernonOld")</f>
        <v>@EdwardVernonOld</v>
      </c>
      <c r="C2431" s="8" t="s">
        <v>8270</v>
      </c>
      <c r="D2431" s="9" t="s">
        <v>8271</v>
      </c>
      <c r="E2431" s="10" t="str">
        <f>HYPERLINK("https://twitter.com/EdwardVernonOld/status/1068917660883271680","1068917660883271680")</f>
        <v>1068917660883271680</v>
      </c>
      <c r="F2431" s="11" t="s">
        <v>8272</v>
      </c>
      <c r="G2431" s="12"/>
      <c r="H2431" s="12"/>
      <c r="I2431" s="13">
        <v>0</v>
      </c>
      <c r="J2431" s="13">
        <v>0</v>
      </c>
      <c r="K2431" s="14" t="str">
        <f t="shared" ref="K2431:K2432" si="434">HYPERLINK("http://twitter.com/download/iphone","Twitter for iPhone")</f>
        <v>Twitter for iPhone</v>
      </c>
      <c r="L2431" s="13">
        <v>297</v>
      </c>
      <c r="M2431" s="13">
        <v>119</v>
      </c>
      <c r="N2431" s="13">
        <v>1</v>
      </c>
      <c r="O2431" s="15"/>
      <c r="P2431" s="6">
        <v>43059.621504629627</v>
      </c>
      <c r="Q2431" s="16" t="s">
        <v>48</v>
      </c>
      <c r="R2431" s="17" t="s">
        <v>8273</v>
      </c>
      <c r="S2431" s="12"/>
      <c r="T2431" s="12"/>
      <c r="U2431" s="10" t="str">
        <f>HYPERLINK("https://pbs.twimg.com/profile_images/1025662171626262529/31XzQ3O-.jpg","View")</f>
        <v>View</v>
      </c>
    </row>
    <row r="2432" spans="1:21" ht="30.6">
      <c r="A2432" s="6">
        <v>43435.763923611114</v>
      </c>
      <c r="B2432" s="7" t="str">
        <f>HYPERLINK("https://twitter.com/FiloPolitics","@FiloPolitics")</f>
        <v>@FiloPolitics</v>
      </c>
      <c r="C2432" s="8" t="s">
        <v>8274</v>
      </c>
      <c r="D2432" s="9" t="s">
        <v>8275</v>
      </c>
      <c r="E2432" s="10" t="str">
        <f>HYPERLINK("https://twitter.com/FiloPolitics/status/1068917656181448705","1068917656181448705")</f>
        <v>1068917656181448705</v>
      </c>
      <c r="F2432" s="11" t="s">
        <v>8276</v>
      </c>
      <c r="G2432" s="12"/>
      <c r="H2432" s="12"/>
      <c r="I2432" s="13">
        <v>9</v>
      </c>
      <c r="J2432" s="13">
        <v>16</v>
      </c>
      <c r="K2432" s="14" t="str">
        <f t="shared" si="434"/>
        <v>Twitter for iPhone</v>
      </c>
      <c r="L2432" s="13">
        <v>31275</v>
      </c>
      <c r="M2432" s="13">
        <v>345</v>
      </c>
      <c r="N2432" s="13">
        <v>199</v>
      </c>
      <c r="O2432" s="15"/>
      <c r="P2432" s="6">
        <v>42761.480520833335</v>
      </c>
      <c r="Q2432" s="16" t="s">
        <v>8277</v>
      </c>
      <c r="R2432" s="17" t="s">
        <v>8278</v>
      </c>
      <c r="S2432" s="12"/>
      <c r="T2432" s="12"/>
      <c r="U2432" s="10" t="str">
        <f>HYPERLINK("https://pbs.twimg.com/profile_images/1018108260765888513/McJeZSDa.jpg","View")</f>
        <v>View</v>
      </c>
    </row>
    <row r="2433" spans="1:21" ht="30.6">
      <c r="A2433" s="6">
        <v>43435.758333333331</v>
      </c>
      <c r="B2433" s="7" t="str">
        <f>HYPERLINK("https://twitter.com/ManuB72179071","@ManuB72179071")</f>
        <v>@ManuB72179071</v>
      </c>
      <c r="C2433" s="8" t="s">
        <v>8279</v>
      </c>
      <c r="D2433" s="9" t="s">
        <v>7948</v>
      </c>
      <c r="E2433" s="10" t="str">
        <f>HYPERLINK("https://twitter.com/ManuB72179071/status/1068915628726194176","1068915628726194176")</f>
        <v>1068915628726194176</v>
      </c>
      <c r="F2433" s="12"/>
      <c r="G2433" s="11" t="s">
        <v>8280</v>
      </c>
      <c r="H2433" s="12"/>
      <c r="I2433" s="13">
        <v>1</v>
      </c>
      <c r="J2433" s="13">
        <v>0</v>
      </c>
      <c r="K2433" s="14" t="str">
        <f>HYPERLINK("https://mobile.twitter.com","Twitter Lite")</f>
        <v>Twitter Lite</v>
      </c>
      <c r="L2433" s="13">
        <v>2836</v>
      </c>
      <c r="M2433" s="13">
        <v>4987</v>
      </c>
      <c r="N2433" s="13">
        <v>2</v>
      </c>
      <c r="O2433" s="15"/>
      <c r="P2433" s="6">
        <v>43175.545023148152</v>
      </c>
      <c r="Q2433" s="16" t="s">
        <v>8281</v>
      </c>
      <c r="R2433" s="17" t="s">
        <v>8282</v>
      </c>
      <c r="S2433" s="12"/>
      <c r="T2433" s="12"/>
      <c r="U2433" s="10" t="str">
        <f>HYPERLINK("https://pbs.twimg.com/profile_images/974738793847803905/GnVcFvLw.jpg","View")</f>
        <v>View</v>
      </c>
    </row>
    <row r="2434" spans="1:21" ht="40.799999999999997">
      <c r="A2434" s="6">
        <v>43435.757291666669</v>
      </c>
      <c r="B2434" s="7" t="str">
        <f>HYPERLINK("https://twitter.com/18921981","@18921981")</f>
        <v>@18921981</v>
      </c>
      <c r="C2434" s="8" t="s">
        <v>4892</v>
      </c>
      <c r="D2434" s="9" t="s">
        <v>4961</v>
      </c>
      <c r="E2434" s="10" t="str">
        <f>HYPERLINK("https://twitter.com/18921981/status/1068915252253925376","1068915252253925376")</f>
        <v>1068915252253925376</v>
      </c>
      <c r="F2434" s="11" t="s">
        <v>4962</v>
      </c>
      <c r="G2434" s="12"/>
      <c r="H2434" s="12"/>
      <c r="I2434" s="13">
        <v>0</v>
      </c>
      <c r="J2434" s="13">
        <v>0</v>
      </c>
      <c r="K2434" s="14" t="str">
        <f>HYPERLINK("http://twitter.com","Twitter Web Client")</f>
        <v>Twitter Web Client</v>
      </c>
      <c r="L2434" s="13">
        <v>270</v>
      </c>
      <c r="M2434" s="13">
        <v>193</v>
      </c>
      <c r="N2434" s="13">
        <v>5</v>
      </c>
      <c r="O2434" s="15"/>
      <c r="P2434" s="6">
        <v>41345.786666666667</v>
      </c>
      <c r="Q2434" s="12"/>
      <c r="R2434" s="17" t="s">
        <v>8283</v>
      </c>
      <c r="S2434" s="12"/>
      <c r="T2434" s="12"/>
      <c r="U2434" s="10" t="str">
        <f>HYPERLINK("https://pbs.twimg.com/profile_images/872051643130556419/5PEVvB0_.jpg","View")</f>
        <v>View</v>
      </c>
    </row>
    <row r="2435" spans="1:21" ht="81.599999999999994">
      <c r="A2435" s="6">
        <v>43435.755914351852</v>
      </c>
      <c r="B2435" s="7" t="str">
        <f>HYPERLINK("https://twitter.com/SAlapont","@SAlapont")</f>
        <v>@SAlapont</v>
      </c>
      <c r="C2435" s="8" t="s">
        <v>8284</v>
      </c>
      <c r="D2435" s="9" t="s">
        <v>8285</v>
      </c>
      <c r="E2435" s="10" t="str">
        <f>HYPERLINK("https://twitter.com/SAlapont/status/1068914753060462602","1068914753060462602")</f>
        <v>1068914753060462602</v>
      </c>
      <c r="F2435" s="11" t="s">
        <v>8286</v>
      </c>
      <c r="G2435" s="11" t="s">
        <v>7717</v>
      </c>
      <c r="H2435" s="12"/>
      <c r="I2435" s="13">
        <v>0</v>
      </c>
      <c r="J2435" s="13">
        <v>0</v>
      </c>
      <c r="K2435" s="14" t="str">
        <f t="shared" ref="K2435:K2436" si="435">HYPERLINK("http://www.facebook.com/twitter","Facebook")</f>
        <v>Facebook</v>
      </c>
      <c r="L2435" s="13">
        <v>39</v>
      </c>
      <c r="M2435" s="13">
        <v>75</v>
      </c>
      <c r="N2435" s="13">
        <v>0</v>
      </c>
      <c r="O2435" s="15"/>
      <c r="P2435" s="6">
        <v>41340.933993055558</v>
      </c>
      <c r="Q2435" s="16" t="s">
        <v>8287</v>
      </c>
      <c r="R2435" s="17" t="s">
        <v>8288</v>
      </c>
      <c r="S2435" s="11" t="s">
        <v>8289</v>
      </c>
      <c r="T2435" s="12"/>
      <c r="U2435" s="10" t="str">
        <f>HYPERLINK("https://pbs.twimg.com/profile_images/865475837583212545/wXeHBS2W.jpg","View")</f>
        <v>View</v>
      </c>
    </row>
    <row r="2436" spans="1:21" ht="20.399999999999999">
      <c r="A2436" s="6">
        <v>43435.751909722225</v>
      </c>
      <c r="B2436" s="7" t="str">
        <f>HYPERLINK("https://twitter.com/silviarosillo75","@silviarosillo75")</f>
        <v>@silviarosillo75</v>
      </c>
      <c r="C2436" s="8" t="s">
        <v>8290</v>
      </c>
      <c r="D2436" s="9" t="s">
        <v>7948</v>
      </c>
      <c r="E2436" s="10" t="str">
        <f>HYPERLINK("https://twitter.com/silviarosillo75/status/1068913302112280576","1068913302112280576")</f>
        <v>1068913302112280576</v>
      </c>
      <c r="F2436" s="11" t="s">
        <v>8291</v>
      </c>
      <c r="G2436" s="12"/>
      <c r="H2436" s="12"/>
      <c r="I2436" s="13">
        <v>0</v>
      </c>
      <c r="J2436" s="13">
        <v>0</v>
      </c>
      <c r="K2436" s="14" t="str">
        <f t="shared" si="435"/>
        <v>Facebook</v>
      </c>
      <c r="L2436" s="13">
        <v>286</v>
      </c>
      <c r="M2436" s="13">
        <v>1144</v>
      </c>
      <c r="N2436" s="13">
        <v>9</v>
      </c>
      <c r="O2436" s="15"/>
      <c r="P2436" s="6">
        <v>40939.846388888887</v>
      </c>
      <c r="Q2436" s="16" t="s">
        <v>1455</v>
      </c>
      <c r="R2436" s="17" t="s">
        <v>8292</v>
      </c>
      <c r="S2436" s="11" t="s">
        <v>8293</v>
      </c>
      <c r="T2436" s="12"/>
      <c r="U2436" s="10" t="str">
        <f>HYPERLINK("https://pbs.twimg.com/profile_images/1049358887042867200/i8g4zM5e.jpg","View")</f>
        <v>View</v>
      </c>
    </row>
    <row r="2437" spans="1:21" ht="30.6">
      <c r="A2437" s="6">
        <v>43435.749305555553</v>
      </c>
      <c r="B2437" s="7" t="str">
        <f>HYPERLINK("https://twitter.com/ElHuffPost","@ElHuffPost")</f>
        <v>@ElHuffPost</v>
      </c>
      <c r="C2437" s="8" t="s">
        <v>106</v>
      </c>
      <c r="D2437" s="9" t="s">
        <v>8294</v>
      </c>
      <c r="E2437" s="10" t="str">
        <f>HYPERLINK("https://twitter.com/ElHuffPost/status/1068912358355943424","1068912358355943424")</f>
        <v>1068912358355943424</v>
      </c>
      <c r="F2437" s="11" t="s">
        <v>8295</v>
      </c>
      <c r="G2437" s="12"/>
      <c r="H2437" s="12"/>
      <c r="I2437" s="13">
        <v>1</v>
      </c>
      <c r="J2437" s="13">
        <v>0</v>
      </c>
      <c r="K2437" s="14" t="str">
        <f>HYPERLINK("https://about.twitter.com/products/tweetdeck","TweetDeck")</f>
        <v>TweetDeck</v>
      </c>
      <c r="L2437" s="13">
        <v>431182</v>
      </c>
      <c r="M2437" s="13">
        <v>1551</v>
      </c>
      <c r="N2437" s="13">
        <v>8193</v>
      </c>
      <c r="O2437" s="19" t="s">
        <v>44</v>
      </c>
      <c r="P2437" s="6">
        <v>40785.027118055557</v>
      </c>
      <c r="Q2437" s="16" t="s">
        <v>109</v>
      </c>
      <c r="R2437" s="17" t="s">
        <v>110</v>
      </c>
      <c r="S2437" s="11" t="s">
        <v>111</v>
      </c>
      <c r="T2437" s="12"/>
      <c r="U2437" s="10" t="str">
        <f>HYPERLINK("https://pbs.twimg.com/profile_images/921140803422089217/ETOEUOAx.jpg","View")</f>
        <v>View</v>
      </c>
    </row>
    <row r="2438" spans="1:21" ht="30.6">
      <c r="A2438" s="6">
        <v>43435.746562500004</v>
      </c>
      <c r="B2438" s="7" t="str">
        <f>HYPERLINK("https://twitter.com/lupicinio","@lupicinio")</f>
        <v>@lupicinio</v>
      </c>
      <c r="C2438" s="8" t="s">
        <v>8296</v>
      </c>
      <c r="D2438" s="9" t="s">
        <v>8297</v>
      </c>
      <c r="E2438" s="10" t="str">
        <f>HYPERLINK("https://twitter.com/lupicinio/status/1068911363735597056","1068911363735597056")</f>
        <v>1068911363735597056</v>
      </c>
      <c r="F2438" s="16" t="s">
        <v>8298</v>
      </c>
      <c r="G2438" s="12"/>
      <c r="H2438" s="12"/>
      <c r="I2438" s="13">
        <v>0</v>
      </c>
      <c r="J2438" s="13">
        <v>0</v>
      </c>
      <c r="K2438" s="14" t="str">
        <f>HYPERLINK("https://www.hootsuite.com","Hootsuite Inc.")</f>
        <v>Hootsuite Inc.</v>
      </c>
      <c r="L2438" s="13">
        <v>3036</v>
      </c>
      <c r="M2438" s="13">
        <v>2956</v>
      </c>
      <c r="N2438" s="13">
        <v>133</v>
      </c>
      <c r="O2438" s="15"/>
      <c r="P2438" s="6">
        <v>39880.020138888889</v>
      </c>
      <c r="Q2438" s="16" t="s">
        <v>7492</v>
      </c>
      <c r="R2438" s="17" t="s">
        <v>8299</v>
      </c>
      <c r="S2438" s="11" t="s">
        <v>8300</v>
      </c>
      <c r="T2438" s="12"/>
      <c r="U2438" s="10" t="str">
        <f>HYPERLINK("https://pbs.twimg.com/profile_images/966449429405454342/ZTxvphDW.jpg","View")</f>
        <v>View</v>
      </c>
    </row>
    <row r="2439" spans="1:21" ht="20.399999999999999">
      <c r="A2439" s="6">
        <v>43435.740983796291</v>
      </c>
      <c r="B2439" s="7" t="str">
        <f>HYPERLINK("https://twitter.com/ricardobanol","@ricardobanol")</f>
        <v>@ricardobanol</v>
      </c>
      <c r="C2439" s="8" t="s">
        <v>8301</v>
      </c>
      <c r="D2439" s="9" t="s">
        <v>8302</v>
      </c>
      <c r="E2439" s="10" t="str">
        <f>HYPERLINK("https://twitter.com/ricardobanol/status/1068909344429928448","1068909344429928448")</f>
        <v>1068909344429928448</v>
      </c>
      <c r="F2439" s="11" t="s">
        <v>8068</v>
      </c>
      <c r="G2439" s="12"/>
      <c r="H2439" s="12"/>
      <c r="I2439" s="13">
        <v>0</v>
      </c>
      <c r="J2439" s="13">
        <v>0</v>
      </c>
      <c r="K2439" s="14" t="str">
        <f>HYPERLINK("http://www.facebook.com/twitter","Facebook")</f>
        <v>Facebook</v>
      </c>
      <c r="L2439" s="13">
        <v>255</v>
      </c>
      <c r="M2439" s="13">
        <v>328</v>
      </c>
      <c r="N2439" s="13">
        <v>18</v>
      </c>
      <c r="O2439" s="15"/>
      <c r="P2439" s="6">
        <v>41442.387453703705</v>
      </c>
      <c r="Q2439" s="12"/>
      <c r="R2439" s="20"/>
      <c r="S2439" s="12"/>
      <c r="T2439" s="12"/>
      <c r="U2439" s="10" t="str">
        <f>HYPERLINK("https://pbs.twimg.com/profile_images/993484519549427712/Nl6OPblM.jpg","View")</f>
        <v>View</v>
      </c>
    </row>
    <row r="2440" spans="1:21" ht="20.399999999999999">
      <c r="A2440" s="6">
        <v>43435.738321759258</v>
      </c>
      <c r="B2440" s="7" t="str">
        <f>HYPERLINK("https://twitter.com/PiliiA24","@PiliiA24")</f>
        <v>@PiliiA24</v>
      </c>
      <c r="C2440" s="8" t="s">
        <v>8303</v>
      </c>
      <c r="D2440" s="9" t="s">
        <v>8304</v>
      </c>
      <c r="E2440" s="10" t="str">
        <f>HYPERLINK("https://twitter.com/PiliiA24/status/1068908377353461767","1068908377353461767")</f>
        <v>1068908377353461767</v>
      </c>
      <c r="F2440" s="11" t="s">
        <v>8305</v>
      </c>
      <c r="G2440" s="12"/>
      <c r="H2440" s="12"/>
      <c r="I2440" s="13">
        <v>0</v>
      </c>
      <c r="J2440" s="13">
        <v>0</v>
      </c>
      <c r="K2440" s="14" t="str">
        <f>HYPERLINK("http://www.scoop.it","Scoop.it")</f>
        <v>Scoop.it</v>
      </c>
      <c r="L2440" s="13">
        <v>138</v>
      </c>
      <c r="M2440" s="13">
        <v>286</v>
      </c>
      <c r="N2440" s="13">
        <v>2</v>
      </c>
      <c r="O2440" s="15"/>
      <c r="P2440" s="6">
        <v>41232.87767361111</v>
      </c>
      <c r="Q2440" s="16" t="s">
        <v>8306</v>
      </c>
      <c r="R2440" s="17" t="s">
        <v>8307</v>
      </c>
      <c r="S2440" s="12"/>
      <c r="T2440" s="12"/>
      <c r="U2440" s="10" t="str">
        <f>HYPERLINK("https://pbs.twimg.com/profile_images/776371491910914048/CtYrgfMw.jpg","View")</f>
        <v>View</v>
      </c>
    </row>
    <row r="2441" spans="1:21" ht="40.799999999999997">
      <c r="A2441" s="6">
        <v>43435.737407407403</v>
      </c>
      <c r="B2441" s="7" t="str">
        <f>HYPERLINK("https://twitter.com/jmtraductor1","@jmtraductor1")</f>
        <v>@jmtraductor1</v>
      </c>
      <c r="C2441" s="8" t="s">
        <v>8308</v>
      </c>
      <c r="D2441" s="9" t="s">
        <v>8309</v>
      </c>
      <c r="E2441" s="10" t="str">
        <f>HYPERLINK("https://twitter.com/jmtraductor1/status/1068908047647588355","1068908047647588355")</f>
        <v>1068908047647588355</v>
      </c>
      <c r="F2441" s="12"/>
      <c r="G2441" s="12"/>
      <c r="H2441" s="12"/>
      <c r="I2441" s="13">
        <v>1</v>
      </c>
      <c r="J2441" s="13">
        <v>3</v>
      </c>
      <c r="K2441" s="14" t="str">
        <f>HYPERLINK("http://twitter.com","Twitter Web Client")</f>
        <v>Twitter Web Client</v>
      </c>
      <c r="L2441" s="13">
        <v>489</v>
      </c>
      <c r="M2441" s="13">
        <v>716</v>
      </c>
      <c r="N2441" s="13">
        <v>4</v>
      </c>
      <c r="O2441" s="15"/>
      <c r="P2441" s="6">
        <v>43343.233923611115</v>
      </c>
      <c r="Q2441" s="16" t="s">
        <v>3569</v>
      </c>
      <c r="R2441" s="17" t="s">
        <v>8310</v>
      </c>
      <c r="S2441" s="11" t="s">
        <v>8311</v>
      </c>
      <c r="T2441" s="12"/>
      <c r="U2441" s="10" t="str">
        <f>HYPERLINK("https://pbs.twimg.com/profile_images/1038848258691538944/hY5wESNn.jpg","View")</f>
        <v>View</v>
      </c>
    </row>
    <row r="2442" spans="1:21" ht="30.6">
      <c r="A2442" s="6">
        <v>43435.737187499995</v>
      </c>
      <c r="B2442" s="7" t="str">
        <f>HYPERLINK("https://twitter.com/TheRealOML","@TheRealOML")</f>
        <v>@TheRealOML</v>
      </c>
      <c r="C2442" s="8" t="s">
        <v>8312</v>
      </c>
      <c r="D2442" s="9" t="s">
        <v>8313</v>
      </c>
      <c r="E2442" s="10" t="str">
        <f>HYPERLINK("https://twitter.com/TheRealOML/status/1068907966689173507","1068907966689173507")</f>
        <v>1068907966689173507</v>
      </c>
      <c r="F2442" s="11" t="s">
        <v>8314</v>
      </c>
      <c r="G2442" s="12"/>
      <c r="H2442" s="12"/>
      <c r="I2442" s="13">
        <v>0</v>
      </c>
      <c r="J2442" s="13">
        <v>0</v>
      </c>
      <c r="K2442" s="14" t="str">
        <f>HYPERLINK("http://twitter.com/download/android","Twitter for Android")</f>
        <v>Twitter for Android</v>
      </c>
      <c r="L2442" s="13">
        <v>40</v>
      </c>
      <c r="M2442" s="13">
        <v>128</v>
      </c>
      <c r="N2442" s="13">
        <v>0</v>
      </c>
      <c r="O2442" s="15"/>
      <c r="P2442" s="6">
        <v>41828.398692129631</v>
      </c>
      <c r="Q2442" s="16" t="s">
        <v>5105</v>
      </c>
      <c r="R2442" s="17" t="s">
        <v>8315</v>
      </c>
      <c r="S2442" s="12"/>
      <c r="T2442" s="12"/>
      <c r="U2442" s="10" t="str">
        <f>HYPERLINK("https://pbs.twimg.com/profile_images/969894569939816449/Wef5D2sH.jpg","View")</f>
        <v>View</v>
      </c>
    </row>
    <row r="2443" spans="1:21" ht="30.6">
      <c r="A2443" s="6">
        <v>43435.735416666663</v>
      </c>
      <c r="B2443" s="7" t="str">
        <f>HYPERLINK("https://twitter.com/ElHuffPost","@ElHuffPost")</f>
        <v>@ElHuffPost</v>
      </c>
      <c r="C2443" s="8" t="s">
        <v>106</v>
      </c>
      <c r="D2443" s="9" t="s">
        <v>8316</v>
      </c>
      <c r="E2443" s="10" t="str">
        <f>HYPERLINK("https://twitter.com/ElHuffPost/status/1068907325317091329","1068907325317091329")</f>
        <v>1068907325317091329</v>
      </c>
      <c r="F2443" s="11" t="s">
        <v>8295</v>
      </c>
      <c r="G2443" s="12"/>
      <c r="H2443" s="12"/>
      <c r="I2443" s="13">
        <v>0</v>
      </c>
      <c r="J2443" s="13">
        <v>0</v>
      </c>
      <c r="K2443" s="14" t="str">
        <f>HYPERLINK("https://about.twitter.com/products/tweetdeck","TweetDeck")</f>
        <v>TweetDeck</v>
      </c>
      <c r="L2443" s="13">
        <v>431182</v>
      </c>
      <c r="M2443" s="13">
        <v>1551</v>
      </c>
      <c r="N2443" s="13">
        <v>8193</v>
      </c>
      <c r="O2443" s="19" t="s">
        <v>44</v>
      </c>
      <c r="P2443" s="6">
        <v>40785.027118055557</v>
      </c>
      <c r="Q2443" s="16" t="s">
        <v>109</v>
      </c>
      <c r="R2443" s="17" t="s">
        <v>110</v>
      </c>
      <c r="S2443" s="11" t="s">
        <v>111</v>
      </c>
      <c r="T2443" s="12"/>
      <c r="U2443" s="10" t="str">
        <f>HYPERLINK("https://pbs.twimg.com/profile_images/921140803422089217/ETOEUOAx.jpg","View")</f>
        <v>View</v>
      </c>
    </row>
    <row r="2444" spans="1:21" ht="40.799999999999997">
      <c r="A2444" s="6">
        <v>43435.734375</v>
      </c>
      <c r="B2444" s="7" t="str">
        <f>HYPERLINK("https://twitter.com/SAlapont","@SAlapont")</f>
        <v>@SAlapont</v>
      </c>
      <c r="C2444" s="8" t="s">
        <v>8284</v>
      </c>
      <c r="D2444" s="9" t="s">
        <v>8317</v>
      </c>
      <c r="E2444" s="10" t="str">
        <f>HYPERLINK("https://twitter.com/SAlapont/status/1068906946529554433","1068906946529554433")</f>
        <v>1068906946529554433</v>
      </c>
      <c r="F2444" s="11" t="s">
        <v>8318</v>
      </c>
      <c r="G2444" s="12"/>
      <c r="H2444" s="12"/>
      <c r="I2444" s="13">
        <v>0</v>
      </c>
      <c r="J2444" s="13">
        <v>0</v>
      </c>
      <c r="K2444" s="14" t="str">
        <f>HYPERLINK("http://www.facebook.com/twitter","Facebook")</f>
        <v>Facebook</v>
      </c>
      <c r="L2444" s="13">
        <v>39</v>
      </c>
      <c r="M2444" s="13">
        <v>75</v>
      </c>
      <c r="N2444" s="13">
        <v>0</v>
      </c>
      <c r="O2444" s="15"/>
      <c r="P2444" s="6">
        <v>41340.933993055558</v>
      </c>
      <c r="Q2444" s="16" t="s">
        <v>8287</v>
      </c>
      <c r="R2444" s="17" t="s">
        <v>8288</v>
      </c>
      <c r="S2444" s="11" t="s">
        <v>8289</v>
      </c>
      <c r="T2444" s="12"/>
      <c r="U2444" s="10" t="str">
        <f>HYPERLINK("https://pbs.twimg.com/profile_images/865475837583212545/wXeHBS2W.jpg","View")</f>
        <v>View</v>
      </c>
    </row>
    <row r="2445" spans="1:21" ht="30.6">
      <c r="A2445" s="6">
        <v>43435.725381944445</v>
      </c>
      <c r="B2445" s="7" t="str">
        <f>HYPERLINK("https://twitter.com/EPBaleares","@EPBaleares")</f>
        <v>@EPBaleares</v>
      </c>
      <c r="C2445" s="8" t="s">
        <v>8319</v>
      </c>
      <c r="D2445" s="9" t="s">
        <v>8320</v>
      </c>
      <c r="E2445" s="10" t="str">
        <f>HYPERLINK("https://twitter.com/EPBaleares/status/1068903690726182913","1068903690726182913")</f>
        <v>1068903690726182913</v>
      </c>
      <c r="F2445" s="11" t="s">
        <v>8323</v>
      </c>
      <c r="G2445" s="12"/>
      <c r="H2445" s="12"/>
      <c r="I2445" s="13">
        <v>0</v>
      </c>
      <c r="J2445" s="13">
        <v>0</v>
      </c>
      <c r="K2445" s="14" t="str">
        <f>HYPERLINK("http://www.europapress.es/illes-balears/","Twitter editor Baleares")</f>
        <v>Twitter editor Baleares</v>
      </c>
      <c r="L2445" s="13">
        <v>7539</v>
      </c>
      <c r="M2445" s="13">
        <v>1573</v>
      </c>
      <c r="N2445" s="13">
        <v>190</v>
      </c>
      <c r="O2445" s="15"/>
      <c r="P2445" s="6">
        <v>40540.777141203704</v>
      </c>
      <c r="Q2445" s="12"/>
      <c r="R2445" s="17" t="s">
        <v>8324</v>
      </c>
      <c r="S2445" s="11" t="s">
        <v>8325</v>
      </c>
      <c r="T2445" s="12"/>
      <c r="U2445" s="10" t="str">
        <f>HYPERLINK("https://pbs.twimg.com/profile_images/877052532421472259/CUjYM4_R.jpg","View")</f>
        <v>View</v>
      </c>
    </row>
    <row r="2446" spans="1:21" ht="30.6">
      <c r="A2446" s="6">
        <v>43435.721319444448</v>
      </c>
      <c r="B2446" s="7" t="str">
        <f>HYPERLINK("https://twitter.com/ElHuffPost","@ElHuffPost")</f>
        <v>@ElHuffPost</v>
      </c>
      <c r="C2446" s="8" t="s">
        <v>106</v>
      </c>
      <c r="D2446" s="9" t="s">
        <v>7838</v>
      </c>
      <c r="E2446" s="10" t="str">
        <f>HYPERLINK("https://twitter.com/ElHuffPost/status/1068902219091755008","1068902219091755008")</f>
        <v>1068902219091755008</v>
      </c>
      <c r="F2446" s="11" t="s">
        <v>8295</v>
      </c>
      <c r="G2446" s="12"/>
      <c r="H2446" s="12"/>
      <c r="I2446" s="13">
        <v>0</v>
      </c>
      <c r="J2446" s="13">
        <v>1</v>
      </c>
      <c r="K2446" s="14" t="str">
        <f>HYPERLINK("https://about.twitter.com/products/tweetdeck","TweetDeck")</f>
        <v>TweetDeck</v>
      </c>
      <c r="L2446" s="13">
        <v>431182</v>
      </c>
      <c r="M2446" s="13">
        <v>1551</v>
      </c>
      <c r="N2446" s="13">
        <v>8193</v>
      </c>
      <c r="O2446" s="19" t="s">
        <v>44</v>
      </c>
      <c r="P2446" s="6">
        <v>40785.027118055557</v>
      </c>
      <c r="Q2446" s="16" t="s">
        <v>109</v>
      </c>
      <c r="R2446" s="17" t="s">
        <v>110</v>
      </c>
      <c r="S2446" s="11" t="s">
        <v>111</v>
      </c>
      <c r="T2446" s="12"/>
      <c r="U2446" s="10" t="str">
        <f>HYPERLINK("https://pbs.twimg.com/profile_images/921140803422089217/ETOEUOAx.jpg","View")</f>
        <v>View</v>
      </c>
    </row>
    <row r="2447" spans="1:21" ht="20.399999999999999">
      <c r="A2447" s="6">
        <v>43435.713043981479</v>
      </c>
      <c r="B2447" s="7" t="str">
        <f>HYPERLINK("https://twitter.com/salvadorsanvil1","@salvadorsanvil1")</f>
        <v>@salvadorsanvil1</v>
      </c>
      <c r="C2447" s="8" t="s">
        <v>8326</v>
      </c>
      <c r="D2447" s="9" t="s">
        <v>8327</v>
      </c>
      <c r="E2447" s="10" t="str">
        <f>HYPERLINK("https://twitter.com/salvadorsanvil1/status/1068899219208134656","1068899219208134656")</f>
        <v>1068899219208134656</v>
      </c>
      <c r="F2447" s="11" t="s">
        <v>8328</v>
      </c>
      <c r="G2447" s="12"/>
      <c r="H2447" s="12"/>
      <c r="I2447" s="13">
        <v>0</v>
      </c>
      <c r="J2447" s="13">
        <v>0</v>
      </c>
      <c r="K2447" s="14" t="str">
        <f t="shared" ref="K2447:K2448" si="436">HYPERLINK("http://twitter.com/download/android","Twitter for Android")</f>
        <v>Twitter for Android</v>
      </c>
      <c r="L2447" s="13">
        <v>38917</v>
      </c>
      <c r="M2447" s="13">
        <v>38733</v>
      </c>
      <c r="N2447" s="13">
        <v>246</v>
      </c>
      <c r="O2447" s="15"/>
      <c r="P2447" s="6">
        <v>41797.511643518519</v>
      </c>
      <c r="Q2447" s="16" t="s">
        <v>8329</v>
      </c>
      <c r="R2447" s="17" t="s">
        <v>8330</v>
      </c>
      <c r="S2447" s="12"/>
      <c r="T2447" s="12"/>
      <c r="U2447" s="10" t="str">
        <f>HYPERLINK("https://pbs.twimg.com/profile_images/1070289838635708416/aEcEVpOx.jpg","View")</f>
        <v>View</v>
      </c>
    </row>
    <row r="2448" spans="1:21" ht="61.2">
      <c r="A2448" s="6">
        <v>43435.705057870371</v>
      </c>
      <c r="B2448" s="7" t="str">
        <f>HYPERLINK("https://twitter.com/OrbitaEduardo","@OrbitaEduardo")</f>
        <v>@OrbitaEduardo</v>
      </c>
      <c r="C2448" s="8" t="s">
        <v>2552</v>
      </c>
      <c r="D2448" s="9" t="s">
        <v>8331</v>
      </c>
      <c r="E2448" s="10" t="str">
        <f>HYPERLINK("https://twitter.com/OrbitaEduardo/status/1068896323578093569","1068896323578093569")</f>
        <v>1068896323578093569</v>
      </c>
      <c r="F2448" s="12"/>
      <c r="G2448" s="11" t="s">
        <v>8332</v>
      </c>
      <c r="H2448" s="12"/>
      <c r="I2448" s="13">
        <v>236</v>
      </c>
      <c r="J2448" s="13">
        <v>273</v>
      </c>
      <c r="K2448" s="14" t="str">
        <f t="shared" si="436"/>
        <v>Twitter for Android</v>
      </c>
      <c r="L2448" s="13">
        <v>4524</v>
      </c>
      <c r="M2448" s="13">
        <v>4948</v>
      </c>
      <c r="N2448" s="13">
        <v>13</v>
      </c>
      <c r="O2448" s="15"/>
      <c r="P2448" s="6">
        <v>43110.374305555553</v>
      </c>
      <c r="Q2448" s="16" t="s">
        <v>611</v>
      </c>
      <c r="R2448" s="17" t="s">
        <v>2555</v>
      </c>
      <c r="S2448" s="12"/>
      <c r="T2448" s="12"/>
      <c r="U2448" s="10" t="str">
        <f>HYPERLINK("https://pbs.twimg.com/profile_images/1034013666600001538/MmqVJqFc.jpg","View")</f>
        <v>View</v>
      </c>
    </row>
    <row r="2449" spans="1:21" ht="13.2">
      <c r="A2449" s="6">
        <v>43435.69532407407</v>
      </c>
      <c r="B2449" s="7" t="str">
        <f>HYPERLINK("https://twitter.com/CyberPotatoe","@CyberPotatoe")</f>
        <v>@CyberPotatoe</v>
      </c>
      <c r="C2449" s="8" t="s">
        <v>3491</v>
      </c>
      <c r="D2449" s="9" t="s">
        <v>8226</v>
      </c>
      <c r="E2449" s="10" t="str">
        <f>HYPERLINK("https://twitter.com/CyberPotatoe/status/1068892796701077505","1068892796701077505")</f>
        <v>1068892796701077505</v>
      </c>
      <c r="F2449" s="16" t="s">
        <v>8333</v>
      </c>
      <c r="G2449" s="11" t="s">
        <v>8334</v>
      </c>
      <c r="H2449" s="12"/>
      <c r="I2449" s="13">
        <v>0</v>
      </c>
      <c r="J2449" s="13">
        <v>1</v>
      </c>
      <c r="K2449" s="14" t="str">
        <f>HYPERLINK("https://ifttt.com","IFTTT")</f>
        <v>IFTTT</v>
      </c>
      <c r="L2449" s="13">
        <v>178</v>
      </c>
      <c r="M2449" s="13">
        <v>550</v>
      </c>
      <c r="N2449" s="13">
        <v>9</v>
      </c>
      <c r="O2449" s="15"/>
      <c r="P2449" s="6">
        <v>40433.609907407408</v>
      </c>
      <c r="Q2449" s="16" t="s">
        <v>583</v>
      </c>
      <c r="R2449" s="17" t="s">
        <v>8335</v>
      </c>
      <c r="S2449" s="11" t="s">
        <v>8336</v>
      </c>
      <c r="T2449" s="12"/>
      <c r="U2449" s="10" t="str">
        <f>HYPERLINK("https://pbs.twimg.com/profile_images/449268509118197760/BIt0uy25.jpeg","View")</f>
        <v>View</v>
      </c>
    </row>
    <row r="2450" spans="1:21" ht="40.799999999999997">
      <c r="A2450" s="6">
        <v>43435.691909722227</v>
      </c>
      <c r="B2450" s="7" t="str">
        <f>HYPERLINK("https://twitter.com/juanjoband24","@juanjoband24")</f>
        <v>@juanjoband24</v>
      </c>
      <c r="C2450" s="8" t="s">
        <v>4656</v>
      </c>
      <c r="D2450" s="27" t="s">
        <v>8337</v>
      </c>
      <c r="E2450" s="10" t="str">
        <f>HYPERLINK("https://twitter.com/juanjoband24/status/1068891558982742017","1068891558982742017")</f>
        <v>1068891558982742017</v>
      </c>
      <c r="F2450" s="12"/>
      <c r="G2450" s="12"/>
      <c r="H2450" s="12"/>
      <c r="I2450" s="13">
        <v>2</v>
      </c>
      <c r="J2450" s="13">
        <v>3</v>
      </c>
      <c r="K2450" s="14" t="str">
        <f t="shared" ref="K2450:K2452" si="437">HYPERLINK("http://twitter.com/download/android","Twitter for Android")</f>
        <v>Twitter for Android</v>
      </c>
      <c r="L2450" s="13">
        <v>2130</v>
      </c>
      <c r="M2450" s="13">
        <v>992</v>
      </c>
      <c r="N2450" s="13">
        <v>13</v>
      </c>
      <c r="O2450" s="15"/>
      <c r="P2450" s="6">
        <v>40844.696689814817</v>
      </c>
      <c r="Q2450" s="16" t="s">
        <v>4658</v>
      </c>
      <c r="R2450" s="28" t="s">
        <v>4659</v>
      </c>
      <c r="S2450" s="12"/>
      <c r="T2450" s="12"/>
      <c r="U2450" s="10" t="str">
        <f>HYPERLINK("https://pbs.twimg.com/profile_images/1031236136675491840/ZxteYaNT.jpg","View")</f>
        <v>View</v>
      </c>
    </row>
    <row r="2451" spans="1:21" ht="30.6">
      <c r="A2451" s="6">
        <v>43435.690949074073</v>
      </c>
      <c r="B2451" s="7" t="str">
        <f>HYPERLINK("https://twitter.com/Rixartvs","@Rixartvs")</f>
        <v>@Rixartvs</v>
      </c>
      <c r="C2451" s="8" t="s">
        <v>7913</v>
      </c>
      <c r="D2451" s="9" t="s">
        <v>8338</v>
      </c>
      <c r="E2451" s="10" t="str">
        <f>HYPERLINK("https://twitter.com/Rixartvs/status/1068891213389070337","1068891213389070337")</f>
        <v>1068891213389070337</v>
      </c>
      <c r="F2451" s="12"/>
      <c r="G2451" s="12"/>
      <c r="H2451" s="12"/>
      <c r="I2451" s="13">
        <v>1</v>
      </c>
      <c r="J2451" s="13">
        <v>2</v>
      </c>
      <c r="K2451" s="14" t="str">
        <f t="shared" si="437"/>
        <v>Twitter for Android</v>
      </c>
      <c r="L2451" s="13">
        <v>2883</v>
      </c>
      <c r="M2451" s="13">
        <v>2826</v>
      </c>
      <c r="N2451" s="13">
        <v>26</v>
      </c>
      <c r="O2451" s="15"/>
      <c r="P2451" s="6">
        <v>41015.841956018521</v>
      </c>
      <c r="Q2451" s="16" t="s">
        <v>7915</v>
      </c>
      <c r="R2451" s="20"/>
      <c r="S2451" s="12"/>
      <c r="T2451" s="12"/>
      <c r="U2451" s="10" t="str">
        <f>HYPERLINK("https://pbs.twimg.com/profile_images/1034386981109858305/hTr3K8Uq.jpg","View")</f>
        <v>View</v>
      </c>
    </row>
    <row r="2452" spans="1:21" ht="40.799999999999997">
      <c r="A2452" s="6">
        <v>43435.689097222217</v>
      </c>
      <c r="B2452" s="7" t="str">
        <f>HYPERLINK("https://twitter.com/LouMonth","@LouMonth")</f>
        <v>@LouMonth</v>
      </c>
      <c r="C2452" s="8" t="s">
        <v>8339</v>
      </c>
      <c r="D2452" s="9" t="s">
        <v>8046</v>
      </c>
      <c r="E2452" s="10" t="str">
        <f>HYPERLINK("https://twitter.com/LouMonth/status/1068890541390266373","1068890541390266373")</f>
        <v>1068890541390266373</v>
      </c>
      <c r="F2452" s="11" t="s">
        <v>8047</v>
      </c>
      <c r="G2452" s="12"/>
      <c r="H2452" s="12"/>
      <c r="I2452" s="13">
        <v>0</v>
      </c>
      <c r="J2452" s="13">
        <v>0</v>
      </c>
      <c r="K2452" s="14" t="str">
        <f t="shared" si="437"/>
        <v>Twitter for Android</v>
      </c>
      <c r="L2452" s="13">
        <v>618</v>
      </c>
      <c r="M2452" s="13">
        <v>979</v>
      </c>
      <c r="N2452" s="13">
        <v>11</v>
      </c>
      <c r="O2452" s="15"/>
      <c r="P2452" s="6">
        <v>42043.653182870374</v>
      </c>
      <c r="Q2452" s="12"/>
      <c r="R2452" s="17" t="s">
        <v>8340</v>
      </c>
      <c r="S2452" s="12"/>
      <c r="T2452" s="12"/>
      <c r="U2452" s="10" t="str">
        <f>HYPERLINK("https://pbs.twimg.com/profile_images/973528780307419137/_gxnNgaW.jpg","View")</f>
        <v>View</v>
      </c>
    </row>
    <row r="2453" spans="1:21" ht="20.399999999999999">
      <c r="A2453" s="6">
        <v>43435.681469907402</v>
      </c>
      <c r="B2453" s="7" t="str">
        <f>HYPERLINK("https://twitter.com/fbenavid","@fbenavid")</f>
        <v>@fbenavid</v>
      </c>
      <c r="C2453" s="8" t="s">
        <v>5441</v>
      </c>
      <c r="D2453" s="9" t="s">
        <v>8341</v>
      </c>
      <c r="E2453" s="10" t="str">
        <f>HYPERLINK("https://twitter.com/fbenavid/status/1068887777750802437","1068887777750802437")</f>
        <v>1068887777750802437</v>
      </c>
      <c r="F2453" s="11" t="s">
        <v>8068</v>
      </c>
      <c r="G2453" s="12"/>
      <c r="H2453" s="12"/>
      <c r="I2453" s="13">
        <v>0</v>
      </c>
      <c r="J2453" s="13">
        <v>1</v>
      </c>
      <c r="K2453" s="14" t="str">
        <f>HYPERLINK("http://twitter.com/download/iphone","Twitter for iPhone")</f>
        <v>Twitter for iPhone</v>
      </c>
      <c r="L2453" s="13">
        <v>1410</v>
      </c>
      <c r="M2453" s="13">
        <v>1913</v>
      </c>
      <c r="N2453" s="13">
        <v>15</v>
      </c>
      <c r="O2453" s="15"/>
      <c r="P2453" s="6">
        <v>39803.86273148148</v>
      </c>
      <c r="Q2453" s="16" t="s">
        <v>5445</v>
      </c>
      <c r="R2453" s="17" t="s">
        <v>5446</v>
      </c>
      <c r="S2453" s="12"/>
      <c r="T2453" s="12"/>
      <c r="U2453" s="10" t="str">
        <f>HYPERLINK("https://pbs.twimg.com/profile_images/859047334134648832/TL1YJZWU.jpg","View")</f>
        <v>View</v>
      </c>
    </row>
    <row r="2454" spans="1:21" ht="20.399999999999999">
      <c r="A2454" s="6">
        <v>43435.677430555559</v>
      </c>
      <c r="B2454" s="7" t="str">
        <f>HYPERLINK("https://twitter.com/Daviibntz","@Daviibntz")</f>
        <v>@Daviibntz</v>
      </c>
      <c r="C2454" s="8" t="s">
        <v>8342</v>
      </c>
      <c r="D2454" s="9" t="s">
        <v>8343</v>
      </c>
      <c r="E2454" s="10" t="str">
        <f>HYPERLINK("https://twitter.com/Daviibntz/status/1068886313829568514","1068886313829568514")</f>
        <v>1068886313829568514</v>
      </c>
      <c r="F2454" s="12"/>
      <c r="G2454" s="12"/>
      <c r="H2454" s="12"/>
      <c r="I2454" s="13">
        <v>32</v>
      </c>
      <c r="J2454" s="13">
        <v>135</v>
      </c>
      <c r="K2454" s="14" t="str">
        <f>HYPERLINK("http://twitter.com","Twitter Web Client")</f>
        <v>Twitter Web Client</v>
      </c>
      <c r="L2454" s="13">
        <v>371</v>
      </c>
      <c r="M2454" s="13">
        <v>374</v>
      </c>
      <c r="N2454" s="13">
        <v>0</v>
      </c>
      <c r="O2454" s="15"/>
      <c r="P2454" s="6">
        <v>42980.685555555552</v>
      </c>
      <c r="Q2454" s="16" t="s">
        <v>8344</v>
      </c>
      <c r="R2454" s="17" t="s">
        <v>8345</v>
      </c>
      <c r="S2454" s="12"/>
      <c r="T2454" s="12"/>
      <c r="U2454" s="10" t="str">
        <f>HYPERLINK("https://pbs.twimg.com/profile_images/1002169906635460608/aZ8Oqznx.jpg","View")</f>
        <v>View</v>
      </c>
    </row>
    <row r="2455" spans="1:21" ht="71.400000000000006">
      <c r="A2455" s="6">
        <v>43435.67288194444</v>
      </c>
      <c r="B2455" s="7" t="str">
        <f>HYPERLINK("https://twitter.com/SalvadorOitaven","@SalvadorOitaven")</f>
        <v>@SalvadorOitaven</v>
      </c>
      <c r="C2455" s="8" t="s">
        <v>8346</v>
      </c>
      <c r="D2455" s="27" t="s">
        <v>8347</v>
      </c>
      <c r="E2455" s="10" t="str">
        <f>HYPERLINK("https://twitter.com/SalvadorOitaven/status/1068884663173816321","1068884663173816321")</f>
        <v>1068884663173816321</v>
      </c>
      <c r="F2455" s="11" t="s">
        <v>7836</v>
      </c>
      <c r="G2455" s="11" t="s">
        <v>7717</v>
      </c>
      <c r="H2455" s="12"/>
      <c r="I2455" s="13">
        <v>1</v>
      </c>
      <c r="J2455" s="13">
        <v>4</v>
      </c>
      <c r="K2455" s="14" t="str">
        <f>HYPERLINK("http://twitter.com/download/iphone","Twitter for iPhone")</f>
        <v>Twitter for iPhone</v>
      </c>
      <c r="L2455" s="13">
        <v>263</v>
      </c>
      <c r="M2455" s="13">
        <v>905</v>
      </c>
      <c r="N2455" s="13">
        <v>1</v>
      </c>
      <c r="O2455" s="15"/>
      <c r="P2455" s="6">
        <v>43285.758611111116</v>
      </c>
      <c r="Q2455" s="16" t="s">
        <v>500</v>
      </c>
      <c r="R2455" s="17" t="s">
        <v>8348</v>
      </c>
      <c r="S2455" s="12"/>
      <c r="T2455" s="12"/>
      <c r="U2455" s="10" t="str">
        <f>HYPERLINK("https://pbs.twimg.com/profile_images/1065242158138052608/HVuDvShB.jpg","View")</f>
        <v>View</v>
      </c>
    </row>
    <row r="2456" spans="1:21" ht="40.799999999999997">
      <c r="A2456" s="6">
        <v>43435.670416666668</v>
      </c>
      <c r="B2456" s="7" t="str">
        <f>HYPERLINK("https://twitter.com/DivulgaMadrid","@DivulgaMadrid")</f>
        <v>@DivulgaMadrid</v>
      </c>
      <c r="C2456" s="8" t="s">
        <v>8349</v>
      </c>
      <c r="D2456" s="9" t="s">
        <v>8350</v>
      </c>
      <c r="E2456" s="10" t="str">
        <f>HYPERLINK("https://twitter.com/DivulgaMadrid/status/1068883768893677568","1068883768893677568")</f>
        <v>1068883768893677568</v>
      </c>
      <c r="F2456" s="11" t="s">
        <v>8351</v>
      </c>
      <c r="G2456" s="12"/>
      <c r="H2456" s="12"/>
      <c r="I2456" s="13">
        <v>2</v>
      </c>
      <c r="J2456" s="13">
        <v>3</v>
      </c>
      <c r="K2456" s="14" t="str">
        <f t="shared" ref="K2456:K2459" si="438">HYPERLINK("http://twitter.com/download/android","Twitter for Android")</f>
        <v>Twitter for Android</v>
      </c>
      <c r="L2456" s="13">
        <v>1379</v>
      </c>
      <c r="M2456" s="13">
        <v>342</v>
      </c>
      <c r="N2456" s="13">
        <v>61</v>
      </c>
      <c r="O2456" s="15"/>
      <c r="P2456" s="6">
        <v>41581.400347222225</v>
      </c>
      <c r="Q2456" s="16" t="s">
        <v>191</v>
      </c>
      <c r="R2456" s="17" t="s">
        <v>8352</v>
      </c>
      <c r="S2456" s="11" t="s">
        <v>8353</v>
      </c>
      <c r="T2456" s="12"/>
      <c r="U2456" s="10" t="str">
        <f>HYPERLINK("https://pbs.twimg.com/profile_images/411848631256223745/grTdxWGX.jpeg","View")</f>
        <v>View</v>
      </c>
    </row>
    <row r="2457" spans="1:21" ht="40.799999999999997">
      <c r="A2457" s="6">
        <v>43435.669282407413</v>
      </c>
      <c r="B2457" s="7" t="str">
        <f>HYPERLINK("https://twitter.com/rtm1900","@rtm1900")</f>
        <v>@rtm1900</v>
      </c>
      <c r="C2457" s="8" t="s">
        <v>8354</v>
      </c>
      <c r="D2457" s="9" t="s">
        <v>8355</v>
      </c>
      <c r="E2457" s="10" t="str">
        <f>HYPERLINK("https://twitter.com/rtm1900/status/1068883358439141378","1068883358439141378")</f>
        <v>1068883358439141378</v>
      </c>
      <c r="F2457" s="16" t="s">
        <v>7584</v>
      </c>
      <c r="G2457" s="11" t="s">
        <v>7585</v>
      </c>
      <c r="H2457" s="12"/>
      <c r="I2457" s="13">
        <v>3</v>
      </c>
      <c r="J2457" s="13">
        <v>7</v>
      </c>
      <c r="K2457" s="14" t="str">
        <f t="shared" si="438"/>
        <v>Twitter for Android</v>
      </c>
      <c r="L2457" s="13">
        <v>291</v>
      </c>
      <c r="M2457" s="13">
        <v>379</v>
      </c>
      <c r="N2457" s="13">
        <v>2</v>
      </c>
      <c r="O2457" s="15"/>
      <c r="P2457" s="6">
        <v>42164.677928240737</v>
      </c>
      <c r="Q2457" s="16" t="s">
        <v>30</v>
      </c>
      <c r="R2457" s="17" t="s">
        <v>8356</v>
      </c>
      <c r="S2457" s="12"/>
      <c r="T2457" s="12"/>
      <c r="U2457" s="10" t="str">
        <f>HYPERLINK("https://pbs.twimg.com/profile_images/888009401650597888/d6FXMlL2.jpg","View")</f>
        <v>View</v>
      </c>
    </row>
    <row r="2458" spans="1:21" ht="40.799999999999997">
      <c r="A2458" s="6">
        <v>43435.665891203702</v>
      </c>
      <c r="B2458" s="7" t="str">
        <f>HYPERLINK("https://twitter.com/diegopanos","@diegopanos")</f>
        <v>@diegopanos</v>
      </c>
      <c r="C2458" s="8" t="s">
        <v>8357</v>
      </c>
      <c r="D2458" s="9" t="s">
        <v>8358</v>
      </c>
      <c r="E2458" s="10" t="str">
        <f>HYPERLINK("https://twitter.com/diegopanos/status/1068882129675784192","1068882129675784192")</f>
        <v>1068882129675784192</v>
      </c>
      <c r="F2458" s="11" t="s">
        <v>8321</v>
      </c>
      <c r="G2458" s="11" t="s">
        <v>8322</v>
      </c>
      <c r="H2458" s="12"/>
      <c r="I2458" s="13">
        <v>0</v>
      </c>
      <c r="J2458" s="13">
        <v>0</v>
      </c>
      <c r="K2458" s="14" t="str">
        <f t="shared" si="438"/>
        <v>Twitter for Android</v>
      </c>
      <c r="L2458" s="13">
        <v>2008</v>
      </c>
      <c r="M2458" s="13">
        <v>1503</v>
      </c>
      <c r="N2458" s="13">
        <v>104</v>
      </c>
      <c r="O2458" s="15"/>
      <c r="P2458" s="6">
        <v>40477.89334490741</v>
      </c>
      <c r="Q2458" s="16" t="s">
        <v>8359</v>
      </c>
      <c r="R2458" s="17" t="s">
        <v>8360</v>
      </c>
      <c r="S2458" s="11" t="s">
        <v>8361</v>
      </c>
      <c r="T2458" s="12"/>
      <c r="U2458" s="10" t="str">
        <f>HYPERLINK("https://pbs.twimg.com/profile_images/1058793982258495488/rhC5iYQA.jpg","View")</f>
        <v>View</v>
      </c>
    </row>
    <row r="2459" spans="1:21" ht="40.799999999999997">
      <c r="A2459" s="6">
        <v>43435.664317129631</v>
      </c>
      <c r="B2459" s="7" t="str">
        <f>HYPERLINK("https://twitter.com/MendanaRolle","@MendanaRolle")</f>
        <v>@MendanaRolle</v>
      </c>
      <c r="C2459" s="8" t="s">
        <v>8362</v>
      </c>
      <c r="D2459" s="9" t="s">
        <v>8363</v>
      </c>
      <c r="E2459" s="10" t="str">
        <f>HYPERLINK("https://twitter.com/MendanaRolle/status/1068881558973616128","1068881558973616128")</f>
        <v>1068881558973616128</v>
      </c>
      <c r="F2459" s="12"/>
      <c r="G2459" s="12"/>
      <c r="H2459" s="12"/>
      <c r="I2459" s="13">
        <v>0</v>
      </c>
      <c r="J2459" s="13">
        <v>2</v>
      </c>
      <c r="K2459" s="14" t="str">
        <f t="shared" si="438"/>
        <v>Twitter for Android</v>
      </c>
      <c r="L2459" s="13">
        <v>667</v>
      </c>
      <c r="M2459" s="13">
        <v>2562</v>
      </c>
      <c r="N2459" s="13">
        <v>9</v>
      </c>
      <c r="O2459" s="15"/>
      <c r="P2459" s="6">
        <v>42189.553263888884</v>
      </c>
      <c r="Q2459" s="16" t="s">
        <v>8364</v>
      </c>
      <c r="R2459" s="17" t="s">
        <v>8365</v>
      </c>
      <c r="S2459" s="11" t="s">
        <v>8366</v>
      </c>
      <c r="T2459" s="12"/>
      <c r="U2459" s="10" t="str">
        <f>HYPERLINK("https://pbs.twimg.com/profile_images/884924122970673152/4F0wtdeA.jpg","View")</f>
        <v>View</v>
      </c>
    </row>
    <row r="2460" spans="1:21" ht="30.6">
      <c r="A2460" s="6">
        <v>43435.663888888885</v>
      </c>
      <c r="B2460" s="7" t="str">
        <f>HYPERLINK("https://twitter.com/ElHuffPost","@ElHuffPost")</f>
        <v>@ElHuffPost</v>
      </c>
      <c r="C2460" s="8" t="s">
        <v>106</v>
      </c>
      <c r="D2460" s="9" t="s">
        <v>8367</v>
      </c>
      <c r="E2460" s="10" t="str">
        <f>HYPERLINK("https://twitter.com/ElHuffPost/status/1068881404266635264","1068881404266635264")</f>
        <v>1068881404266635264</v>
      </c>
      <c r="F2460" s="11" t="s">
        <v>8295</v>
      </c>
      <c r="G2460" s="12"/>
      <c r="H2460" s="12"/>
      <c r="I2460" s="13">
        <v>1</v>
      </c>
      <c r="J2460" s="13">
        <v>2</v>
      </c>
      <c r="K2460" s="14" t="str">
        <f>HYPERLINK("https://about.twitter.com/products/tweetdeck","TweetDeck")</f>
        <v>TweetDeck</v>
      </c>
      <c r="L2460" s="13">
        <v>431182</v>
      </c>
      <c r="M2460" s="13">
        <v>1551</v>
      </c>
      <c r="N2460" s="13">
        <v>8193</v>
      </c>
      <c r="O2460" s="19" t="s">
        <v>44</v>
      </c>
      <c r="P2460" s="6">
        <v>40785.027118055557</v>
      </c>
      <c r="Q2460" s="16" t="s">
        <v>109</v>
      </c>
      <c r="R2460" s="17" t="s">
        <v>110</v>
      </c>
      <c r="S2460" s="11" t="s">
        <v>111</v>
      </c>
      <c r="T2460" s="12"/>
      <c r="U2460" s="10" t="str">
        <f>HYPERLINK("https://pbs.twimg.com/profile_images/921140803422089217/ETOEUOAx.jpg","View")</f>
        <v>View</v>
      </c>
    </row>
    <row r="2461" spans="1:21" ht="30.6">
      <c r="A2461" s="6">
        <v>43435.662627314814</v>
      </c>
      <c r="B2461" s="7" t="str">
        <f>HYPERLINK("https://twitter.com/APernath","@APernath")</f>
        <v>@APernath</v>
      </c>
      <c r="C2461" s="8" t="s">
        <v>8368</v>
      </c>
      <c r="D2461" s="9" t="s">
        <v>8369</v>
      </c>
      <c r="E2461" s="10" t="str">
        <f>HYPERLINK("https://twitter.com/APernath/status/1068880949574885377","1068880949574885377")</f>
        <v>1068880949574885377</v>
      </c>
      <c r="F2461" s="11" t="s">
        <v>8272</v>
      </c>
      <c r="G2461" s="12"/>
      <c r="H2461" s="12"/>
      <c r="I2461" s="13">
        <v>1</v>
      </c>
      <c r="J2461" s="13">
        <v>1</v>
      </c>
      <c r="K2461" s="14" t="str">
        <f>HYPERLINK("http://twitter.com","Twitter Web Client")</f>
        <v>Twitter Web Client</v>
      </c>
      <c r="L2461" s="13">
        <v>1182</v>
      </c>
      <c r="M2461" s="13">
        <v>2820</v>
      </c>
      <c r="N2461" s="13">
        <v>0</v>
      </c>
      <c r="O2461" s="15"/>
      <c r="P2461" s="6">
        <v>41859.445231481484</v>
      </c>
      <c r="Q2461" s="12"/>
      <c r="R2461" s="17" t="s">
        <v>8370</v>
      </c>
      <c r="S2461" s="12"/>
      <c r="T2461" s="12"/>
      <c r="U2461" s="10" t="str">
        <f>HYPERLINK("https://pbs.twimg.com/profile_images/1060496532804374530/VKQ0ARv7.jpg","View")</f>
        <v>View</v>
      </c>
    </row>
    <row r="2462" spans="1:21" ht="112.2">
      <c r="A2462" s="6">
        <v>43435.657557870371</v>
      </c>
      <c r="B2462" s="7" t="str">
        <f>HYPERLINK("https://twitter.com/_23Sergio","@_23Sergio")</f>
        <v>@_23Sergio</v>
      </c>
      <c r="C2462" s="8" t="s">
        <v>3491</v>
      </c>
      <c r="D2462" s="9" t="s">
        <v>8371</v>
      </c>
      <c r="E2462" s="10" t="str">
        <f>HYPERLINK("https://twitter.com/_23Sergio/status/1068879110213128200","1068879110213128200")</f>
        <v>1068879110213128200</v>
      </c>
      <c r="F2462" s="11" t="s">
        <v>8372</v>
      </c>
      <c r="G2462" s="12"/>
      <c r="H2462" s="12"/>
      <c r="I2462" s="13">
        <v>0</v>
      </c>
      <c r="J2462" s="13">
        <v>4</v>
      </c>
      <c r="K2462" s="14" t="str">
        <f t="shared" ref="K2462:K2463" si="439">HYPERLINK("http://twitter.com/download/android","Twitter for Android")</f>
        <v>Twitter for Android</v>
      </c>
      <c r="L2462" s="13">
        <v>1344</v>
      </c>
      <c r="M2462" s="13">
        <v>1825</v>
      </c>
      <c r="N2462" s="13">
        <v>12</v>
      </c>
      <c r="O2462" s="15"/>
      <c r="P2462" s="6">
        <v>40503.781458333331</v>
      </c>
      <c r="Q2462" s="16" t="s">
        <v>3494</v>
      </c>
      <c r="R2462" s="17" t="s">
        <v>3495</v>
      </c>
      <c r="S2462" s="12"/>
      <c r="T2462" s="12"/>
      <c r="U2462" s="10" t="str">
        <f>HYPERLINK("https://pbs.twimg.com/profile_images/959348744822157312/wUGKBFb3.jpg","View")</f>
        <v>View</v>
      </c>
    </row>
    <row r="2463" spans="1:21" ht="51">
      <c r="A2463" s="6">
        <v>43435.645891203705</v>
      </c>
      <c r="B2463" s="7" t="str">
        <f>HYPERLINK("https://twitter.com/OscarJDomingo","@OscarJDomingo")</f>
        <v>@OscarJDomingo</v>
      </c>
      <c r="C2463" s="8" t="s">
        <v>8373</v>
      </c>
      <c r="D2463" s="9" t="s">
        <v>8374</v>
      </c>
      <c r="E2463" s="10" t="str">
        <f>HYPERLINK("https://twitter.com/OscarJDomingo/status/1068874882077863936","1068874882077863936")</f>
        <v>1068874882077863936</v>
      </c>
      <c r="F2463" s="11" t="s">
        <v>7836</v>
      </c>
      <c r="G2463" s="11" t="s">
        <v>7717</v>
      </c>
      <c r="H2463" s="12"/>
      <c r="I2463" s="13">
        <v>0</v>
      </c>
      <c r="J2463" s="13">
        <v>2</v>
      </c>
      <c r="K2463" s="14" t="str">
        <f t="shared" si="439"/>
        <v>Twitter for Android</v>
      </c>
      <c r="L2463" s="13">
        <v>751</v>
      </c>
      <c r="M2463" s="13">
        <v>602</v>
      </c>
      <c r="N2463" s="13">
        <v>22</v>
      </c>
      <c r="O2463" s="15"/>
      <c r="P2463" s="6">
        <v>40779.787870370368</v>
      </c>
      <c r="Q2463" s="16" t="s">
        <v>3396</v>
      </c>
      <c r="R2463" s="17" t="s">
        <v>8375</v>
      </c>
      <c r="S2463" s="12"/>
      <c r="T2463" s="12"/>
      <c r="U2463" s="10" t="str">
        <f>HYPERLINK("https://pbs.twimg.com/profile_images/1069894745089040384/tCjJGr6C.jpg","View")</f>
        <v>View</v>
      </c>
    </row>
    <row r="2464" spans="1:21" ht="30.6">
      <c r="A2464" s="6">
        <v>43435.643055555556</v>
      </c>
      <c r="B2464" s="7" t="str">
        <f>HYPERLINK("https://twitter.com/ElHuffPost","@ElHuffPost")</f>
        <v>@ElHuffPost</v>
      </c>
      <c r="C2464" s="8" t="s">
        <v>106</v>
      </c>
      <c r="D2464" s="9" t="s">
        <v>8376</v>
      </c>
      <c r="E2464" s="10" t="str">
        <f>HYPERLINK("https://twitter.com/ElHuffPost/status/1068873854720925696","1068873854720925696")</f>
        <v>1068873854720925696</v>
      </c>
      <c r="F2464" s="11" t="s">
        <v>8295</v>
      </c>
      <c r="G2464" s="12"/>
      <c r="H2464" s="12"/>
      <c r="I2464" s="13">
        <v>0</v>
      </c>
      <c r="J2464" s="13">
        <v>0</v>
      </c>
      <c r="K2464" s="14" t="str">
        <f>HYPERLINK("https://about.twitter.com/products/tweetdeck","TweetDeck")</f>
        <v>TweetDeck</v>
      </c>
      <c r="L2464" s="13">
        <v>431182</v>
      </c>
      <c r="M2464" s="13">
        <v>1551</v>
      </c>
      <c r="N2464" s="13">
        <v>8193</v>
      </c>
      <c r="O2464" s="19" t="s">
        <v>44</v>
      </c>
      <c r="P2464" s="6">
        <v>40785.027118055557</v>
      </c>
      <c r="Q2464" s="16" t="s">
        <v>109</v>
      </c>
      <c r="R2464" s="17" t="s">
        <v>110</v>
      </c>
      <c r="S2464" s="11" t="s">
        <v>111</v>
      </c>
      <c r="T2464" s="12"/>
      <c r="U2464" s="10" t="str">
        <f>HYPERLINK("https://pbs.twimg.com/profile_images/921140803422089217/ETOEUOAx.jpg","View")</f>
        <v>View</v>
      </c>
    </row>
    <row r="2465" spans="1:21" ht="30.6">
      <c r="A2465" s="6">
        <v>43435.640555555554</v>
      </c>
      <c r="B2465" s="7" t="str">
        <f>HYPERLINK("https://twitter.com/DrTochas","@DrTochas")</f>
        <v>@DrTochas</v>
      </c>
      <c r="C2465" s="8" t="s">
        <v>8377</v>
      </c>
      <c r="D2465" s="9" t="s">
        <v>8378</v>
      </c>
      <c r="E2465" s="10" t="str">
        <f>HYPERLINK("https://twitter.com/DrTochas/status/1068872947354472448","1068872947354472448")</f>
        <v>1068872947354472448</v>
      </c>
      <c r="F2465" s="12"/>
      <c r="G2465" s="12"/>
      <c r="H2465" s="12"/>
      <c r="I2465" s="13">
        <v>0</v>
      </c>
      <c r="J2465" s="13">
        <v>1</v>
      </c>
      <c r="K2465" s="14" t="str">
        <f t="shared" ref="K2465:K2466" si="440">HYPERLINK("http://twitter.com/download/android","Twitter for Android")</f>
        <v>Twitter for Android</v>
      </c>
      <c r="L2465" s="13">
        <v>464</v>
      </c>
      <c r="M2465" s="13">
        <v>540</v>
      </c>
      <c r="N2465" s="13">
        <v>5</v>
      </c>
      <c r="O2465" s="15"/>
      <c r="P2465" s="6">
        <v>40916.939733796295</v>
      </c>
      <c r="Q2465" s="12"/>
      <c r="R2465" s="17" t="s">
        <v>8379</v>
      </c>
      <c r="S2465" s="12"/>
      <c r="T2465" s="12"/>
      <c r="U2465" s="10" t="str">
        <f>HYPERLINK("https://pbs.twimg.com/profile_images/503661183086628865/iUxVUGwJ.jpeg","View")</f>
        <v>View</v>
      </c>
    </row>
    <row r="2466" spans="1:21" ht="40.799999999999997">
      <c r="A2466" s="6">
        <v>43435.637407407412</v>
      </c>
      <c r="B2466" s="7" t="str">
        <f>HYPERLINK("https://twitter.com/GullonPablo","@GullonPablo")</f>
        <v>@GullonPablo</v>
      </c>
      <c r="C2466" s="8" t="s">
        <v>8380</v>
      </c>
      <c r="D2466" s="9" t="s">
        <v>8046</v>
      </c>
      <c r="E2466" s="10" t="str">
        <f>HYPERLINK("https://twitter.com/GullonPablo/status/1068871807535628290","1068871807535628290")</f>
        <v>1068871807535628290</v>
      </c>
      <c r="F2466" s="11" t="s">
        <v>8047</v>
      </c>
      <c r="G2466" s="12"/>
      <c r="H2466" s="12"/>
      <c r="I2466" s="13">
        <v>0</v>
      </c>
      <c r="J2466" s="13">
        <v>0</v>
      </c>
      <c r="K2466" s="14" t="str">
        <f t="shared" si="440"/>
        <v>Twitter for Android</v>
      </c>
      <c r="L2466" s="13">
        <v>139</v>
      </c>
      <c r="M2466" s="13">
        <v>511</v>
      </c>
      <c r="N2466" s="13">
        <v>0</v>
      </c>
      <c r="O2466" s="15"/>
      <c r="P2466" s="6">
        <v>41301.57104166667</v>
      </c>
      <c r="Q2466" s="16" t="s">
        <v>8381</v>
      </c>
      <c r="R2466" s="17" t="s">
        <v>8382</v>
      </c>
      <c r="S2466" s="12"/>
      <c r="T2466" s="12"/>
      <c r="U2466" s="10" t="str">
        <f>HYPERLINK("https://pbs.twimg.com/profile_images/1014933036138409985/lkX18pDm.jpg","View")</f>
        <v>View</v>
      </c>
    </row>
    <row r="2467" spans="1:21" ht="30.6">
      <c r="A2467" s="6">
        <v>43435.63009259259</v>
      </c>
      <c r="B2467" s="7" t="str">
        <f>HYPERLINK("https://twitter.com/VirtudSin","@VirtudSin")</f>
        <v>@VirtudSin</v>
      </c>
      <c r="C2467" s="8" t="s">
        <v>8383</v>
      </c>
      <c r="D2467" s="9" t="s">
        <v>8384</v>
      </c>
      <c r="E2467" s="10" t="str">
        <f>HYPERLINK("https://twitter.com/VirtudSin/status/1068869158664896512","1068869158664896512")</f>
        <v>1068869158664896512</v>
      </c>
      <c r="F2467" s="11" t="s">
        <v>8385</v>
      </c>
      <c r="G2467" s="12"/>
      <c r="H2467" s="12"/>
      <c r="I2467" s="13">
        <v>0</v>
      </c>
      <c r="J2467" s="13">
        <v>2</v>
      </c>
      <c r="K2467" s="14" t="str">
        <f>HYPERLINK("https://curiouscat.me","Curious Cat")</f>
        <v>Curious Cat</v>
      </c>
      <c r="L2467" s="13">
        <v>1591</v>
      </c>
      <c r="M2467" s="13">
        <v>2440</v>
      </c>
      <c r="N2467" s="13">
        <v>65</v>
      </c>
      <c r="O2467" s="15"/>
      <c r="P2467" s="6">
        <v>41216.90766203704</v>
      </c>
      <c r="Q2467" s="16" t="s">
        <v>8386</v>
      </c>
      <c r="R2467" s="17" t="s">
        <v>8387</v>
      </c>
      <c r="S2467" s="11" t="s">
        <v>8388</v>
      </c>
      <c r="T2467" s="12"/>
      <c r="U2467" s="10" t="str">
        <f>HYPERLINK("https://pbs.twimg.com/profile_images/1062087230854979584/Y9_6jr8e.jpg","View")</f>
        <v>View</v>
      </c>
    </row>
    <row r="2468" spans="1:21" ht="51">
      <c r="A2468" s="6">
        <v>43435.623263888891</v>
      </c>
      <c r="B2468" s="7" t="str">
        <f>HYPERLINK("https://twitter.com/aitorbu","@aitorbu")</f>
        <v>@aitorbu</v>
      </c>
      <c r="C2468" s="8" t="s">
        <v>8389</v>
      </c>
      <c r="D2468" s="9" t="s">
        <v>8390</v>
      </c>
      <c r="E2468" s="10" t="str">
        <f>HYPERLINK("https://twitter.com/aitorbu/status/1068866681232130048","1068866681232130048")</f>
        <v>1068866681232130048</v>
      </c>
      <c r="F2468" s="12"/>
      <c r="G2468" s="12"/>
      <c r="H2468" s="12"/>
      <c r="I2468" s="13">
        <v>0</v>
      </c>
      <c r="J2468" s="13">
        <v>2</v>
      </c>
      <c r="K2468" s="14" t="str">
        <f>HYPERLINK("http://twitter.com","Twitter Web Client")</f>
        <v>Twitter Web Client</v>
      </c>
      <c r="L2468" s="13">
        <v>737</v>
      </c>
      <c r="M2468" s="13">
        <v>1982</v>
      </c>
      <c r="N2468" s="13">
        <v>8</v>
      </c>
      <c r="O2468" s="15"/>
      <c r="P2468" s="6">
        <v>42834.051354166666</v>
      </c>
      <c r="Q2468" s="16" t="s">
        <v>81</v>
      </c>
      <c r="R2468" s="17" t="s">
        <v>8391</v>
      </c>
      <c r="S2468" s="12"/>
      <c r="T2468" s="12"/>
      <c r="U2468" s="10" t="str">
        <f>HYPERLINK("https://pbs.twimg.com/profile_images/850853174139334657/xg8Ei_3a.jpg","View")</f>
        <v>View</v>
      </c>
    </row>
    <row r="2469" spans="1:21" ht="30.6">
      <c r="A2469" s="6">
        <v>43435.621527777781</v>
      </c>
      <c r="B2469" s="7" t="str">
        <f>HYPERLINK("https://twitter.com/ElHuffPost","@ElHuffPost")</f>
        <v>@ElHuffPost</v>
      </c>
      <c r="C2469" s="8" t="s">
        <v>106</v>
      </c>
      <c r="D2469" s="9" t="s">
        <v>8392</v>
      </c>
      <c r="E2469" s="10" t="str">
        <f>HYPERLINK("https://twitter.com/ElHuffPost/status/1068866053462200320","1068866053462200320")</f>
        <v>1068866053462200320</v>
      </c>
      <c r="F2469" s="11" t="s">
        <v>8295</v>
      </c>
      <c r="G2469" s="12"/>
      <c r="H2469" s="12"/>
      <c r="I2469" s="13">
        <v>0</v>
      </c>
      <c r="J2469" s="13">
        <v>0</v>
      </c>
      <c r="K2469" s="14" t="str">
        <f>HYPERLINK("https://about.twitter.com/products/tweetdeck","TweetDeck")</f>
        <v>TweetDeck</v>
      </c>
      <c r="L2469" s="13">
        <v>431182</v>
      </c>
      <c r="M2469" s="13">
        <v>1551</v>
      </c>
      <c r="N2469" s="13">
        <v>8193</v>
      </c>
      <c r="O2469" s="19" t="s">
        <v>44</v>
      </c>
      <c r="P2469" s="6">
        <v>40785.027118055557</v>
      </c>
      <c r="Q2469" s="16" t="s">
        <v>109</v>
      </c>
      <c r="R2469" s="17" t="s">
        <v>110</v>
      </c>
      <c r="S2469" s="11" t="s">
        <v>111</v>
      </c>
      <c r="T2469" s="12"/>
      <c r="U2469" s="10" t="str">
        <f>HYPERLINK("https://pbs.twimg.com/profile_images/921140803422089217/ETOEUOAx.jpg","View")</f>
        <v>View</v>
      </c>
    </row>
    <row r="2470" spans="1:21" ht="40.799999999999997">
      <c r="A2470" s="6">
        <v>43435.620891203704</v>
      </c>
      <c r="B2470" s="7" t="str">
        <f>HYPERLINK("https://twitter.com/tio_chabo","@tio_chabo")</f>
        <v>@tio_chabo</v>
      </c>
      <c r="C2470" s="8" t="s">
        <v>2050</v>
      </c>
      <c r="D2470" s="9" t="s">
        <v>7948</v>
      </c>
      <c r="E2470" s="10" t="str">
        <f>HYPERLINK("https://twitter.com/tio_chabo/status/1068865824331575296","1068865824331575296")</f>
        <v>1068865824331575296</v>
      </c>
      <c r="F2470" s="11" t="s">
        <v>8393</v>
      </c>
      <c r="G2470" s="12"/>
      <c r="H2470" s="12"/>
      <c r="I2470" s="13">
        <v>0</v>
      </c>
      <c r="J2470" s="13">
        <v>0</v>
      </c>
      <c r="K2470" s="14" t="str">
        <f>HYPERLINK("http://www.facebook.com/twitter","Facebook")</f>
        <v>Facebook</v>
      </c>
      <c r="L2470" s="13">
        <v>3112</v>
      </c>
      <c r="M2470" s="13">
        <v>3722</v>
      </c>
      <c r="N2470" s="13">
        <v>68</v>
      </c>
      <c r="O2470" s="15"/>
      <c r="P2470" s="6">
        <v>40964.769629629627</v>
      </c>
      <c r="Q2470" s="16" t="s">
        <v>2052</v>
      </c>
      <c r="R2470" s="17" t="s">
        <v>2053</v>
      </c>
      <c r="S2470" s="11" t="s">
        <v>2054</v>
      </c>
      <c r="T2470" s="12"/>
      <c r="U2470" s="10" t="str">
        <f>HYPERLINK("https://pbs.twimg.com/profile_images/837040061870833666/XUkKbbB4.jpg","View")</f>
        <v>View</v>
      </c>
    </row>
    <row r="2471" spans="1:21" ht="30.6">
      <c r="A2471" s="6">
        <v>43435.618009259255</v>
      </c>
      <c r="B2471" s="7" t="str">
        <f>HYPERLINK("https://twitter.com/Eugenio63098874","@Eugenio63098874")</f>
        <v>@Eugenio63098874</v>
      </c>
      <c r="C2471" s="8" t="s">
        <v>2535</v>
      </c>
      <c r="D2471" s="9" t="s">
        <v>8394</v>
      </c>
      <c r="E2471" s="10" t="str">
        <f>HYPERLINK("https://twitter.com/Eugenio63098874/status/1068864777580146688","1068864777580146688")</f>
        <v>1068864777580146688</v>
      </c>
      <c r="F2471" s="11" t="s">
        <v>8272</v>
      </c>
      <c r="G2471" s="12"/>
      <c r="H2471" s="12"/>
      <c r="I2471" s="13">
        <v>0</v>
      </c>
      <c r="J2471" s="13">
        <v>0</v>
      </c>
      <c r="K2471" s="14" t="str">
        <f>HYPERLINK("http://twitter.com","Twitter Web Client")</f>
        <v>Twitter Web Client</v>
      </c>
      <c r="L2471" s="13">
        <v>26</v>
      </c>
      <c r="M2471" s="13">
        <v>322</v>
      </c>
      <c r="N2471" s="13">
        <v>0</v>
      </c>
      <c r="O2471" s="15"/>
      <c r="P2471" s="6">
        <v>43189.665138888886</v>
      </c>
      <c r="Q2471" s="12"/>
      <c r="R2471" s="20"/>
      <c r="S2471" s="12"/>
      <c r="T2471" s="12"/>
      <c r="U2471" s="10" t="str">
        <f>HYPERLINK("https://pbs.twimg.com/profile_images/1044637518631710720/L1M74q26.jpg","View")</f>
        <v>View</v>
      </c>
    </row>
    <row r="2472" spans="1:21" ht="91.8">
      <c r="A2472" s="6">
        <v>43435.615740740745</v>
      </c>
      <c r="B2472" s="7" t="str">
        <f>HYPERLINK("https://twitter.com/El_Perchelero","@El_Perchelero")</f>
        <v>@El_Perchelero</v>
      </c>
      <c r="C2472" s="8" t="s">
        <v>8395</v>
      </c>
      <c r="D2472" s="9" t="s">
        <v>8396</v>
      </c>
      <c r="E2472" s="10" t="str">
        <f>HYPERLINK("https://twitter.com/El_Perchelero/status/1068863955634987008","1068863955634987008")</f>
        <v>1068863955634987008</v>
      </c>
      <c r="F2472" s="11" t="s">
        <v>754</v>
      </c>
      <c r="G2472" s="11" t="s">
        <v>755</v>
      </c>
      <c r="H2472" s="12"/>
      <c r="I2472" s="13">
        <v>0</v>
      </c>
      <c r="J2472" s="13">
        <v>0</v>
      </c>
      <c r="K2472" s="14" t="str">
        <f t="shared" ref="K2472:K2473" si="441">HYPERLINK("http://twitter.com/download/android","Twitter for Android")</f>
        <v>Twitter for Android</v>
      </c>
      <c r="L2472" s="13">
        <v>142</v>
      </c>
      <c r="M2472" s="13">
        <v>513</v>
      </c>
      <c r="N2472" s="13">
        <v>5</v>
      </c>
      <c r="O2472" s="15"/>
      <c r="P2472" s="6">
        <v>42662.697141203702</v>
      </c>
      <c r="Q2472" s="12"/>
      <c r="R2472" s="17" t="s">
        <v>8397</v>
      </c>
      <c r="S2472" s="12"/>
      <c r="T2472" s="12"/>
      <c r="U2472" s="10" t="str">
        <f>HYPERLINK("https://pbs.twimg.com/profile_images/788754962713116672/NWgKDpSO.jpg","View")</f>
        <v>View</v>
      </c>
    </row>
    <row r="2473" spans="1:21" ht="30.6">
      <c r="A2473" s="6">
        <v>43435.614675925928</v>
      </c>
      <c r="B2473" s="7" t="str">
        <f>HYPERLINK("https://twitter.com/V3Checa","@V3Checa")</f>
        <v>@V3Checa</v>
      </c>
      <c r="C2473" s="8" t="s">
        <v>8398</v>
      </c>
      <c r="D2473" s="9" t="s">
        <v>8399</v>
      </c>
      <c r="E2473" s="10" t="str">
        <f>HYPERLINK("https://twitter.com/V3Checa/status/1068863571310903296","1068863571310903296")</f>
        <v>1068863571310903296</v>
      </c>
      <c r="F2473" s="12"/>
      <c r="G2473" s="12"/>
      <c r="H2473" s="12"/>
      <c r="I2473" s="13">
        <v>0</v>
      </c>
      <c r="J2473" s="13">
        <v>0</v>
      </c>
      <c r="K2473" s="14" t="str">
        <f t="shared" si="441"/>
        <v>Twitter for Android</v>
      </c>
      <c r="L2473" s="13">
        <v>134</v>
      </c>
      <c r="M2473" s="13">
        <v>130</v>
      </c>
      <c r="N2473" s="13">
        <v>9</v>
      </c>
      <c r="O2473" s="15"/>
      <c r="P2473" s="6">
        <v>41329.923483796294</v>
      </c>
      <c r="Q2473" s="16" t="s">
        <v>854</v>
      </c>
      <c r="R2473" s="17" t="s">
        <v>8400</v>
      </c>
      <c r="S2473" s="12"/>
      <c r="T2473" s="12"/>
      <c r="U2473" s="10" t="str">
        <f>HYPERLINK("https://pbs.twimg.com/profile_images/666657871405404160/NPrYZKfU.jpg","View")</f>
        <v>View</v>
      </c>
    </row>
    <row r="2474" spans="1:21" ht="30.6">
      <c r="A2474" s="6">
        <v>43435.61383101852</v>
      </c>
      <c r="B2474" s="7" t="str">
        <f>HYPERLINK("https://twitter.com/albertoyoan","@albertoyoan")</f>
        <v>@albertoyoan</v>
      </c>
      <c r="C2474" s="8" t="s">
        <v>8401</v>
      </c>
      <c r="D2474" s="9" t="s">
        <v>8402</v>
      </c>
      <c r="E2474" s="10" t="str">
        <f>HYPERLINK("https://twitter.com/albertoyoan/status/1068863263788728321","1068863263788728321")</f>
        <v>1068863263788728321</v>
      </c>
      <c r="F2474" s="16" t="s">
        <v>8403</v>
      </c>
      <c r="G2474" s="11" t="s">
        <v>8404</v>
      </c>
      <c r="H2474" s="12"/>
      <c r="I2474" s="13">
        <v>0</v>
      </c>
      <c r="J2474" s="13">
        <v>0</v>
      </c>
      <c r="K2474" s="14" t="str">
        <f t="shared" ref="K2474:K2475" si="442">HYPERLINK("http://twitter.com/download/iphone","Twitter for iPhone")</f>
        <v>Twitter for iPhone</v>
      </c>
      <c r="L2474" s="13">
        <v>420</v>
      </c>
      <c r="M2474" s="13">
        <v>568</v>
      </c>
      <c r="N2474" s="13">
        <v>54</v>
      </c>
      <c r="O2474" s="15"/>
      <c r="P2474" s="6">
        <v>39916.855034722219</v>
      </c>
      <c r="Q2474" s="16" t="s">
        <v>232</v>
      </c>
      <c r="R2474" s="17" t="s">
        <v>8405</v>
      </c>
      <c r="S2474" s="11" t="s">
        <v>8406</v>
      </c>
      <c r="T2474" s="12"/>
      <c r="U2474" s="10" t="str">
        <f>HYPERLINK("https://pbs.twimg.com/profile_images/1008117810617372672/V01QR-L-.jpg","View")</f>
        <v>View</v>
      </c>
    </row>
    <row r="2475" spans="1:21" ht="71.400000000000006">
      <c r="A2475" s="6">
        <v>43435.613136574073</v>
      </c>
      <c r="B2475" s="7" t="str">
        <f>HYPERLINK("https://twitter.com/CentinelPeter","@CentinelPeter")</f>
        <v>@CentinelPeter</v>
      </c>
      <c r="C2475" s="8" t="s">
        <v>8407</v>
      </c>
      <c r="D2475" s="9" t="s">
        <v>8408</v>
      </c>
      <c r="E2475" s="10" t="str">
        <f>HYPERLINK("https://twitter.com/CentinelPeter/status/1068863014345105409","1068863014345105409")</f>
        <v>1068863014345105409</v>
      </c>
      <c r="F2475" s="11" t="s">
        <v>8073</v>
      </c>
      <c r="G2475" s="11" t="s">
        <v>8074</v>
      </c>
      <c r="H2475" s="12"/>
      <c r="I2475" s="13">
        <v>0</v>
      </c>
      <c r="J2475" s="13">
        <v>0</v>
      </c>
      <c r="K2475" s="14" t="str">
        <f t="shared" si="442"/>
        <v>Twitter for iPhone</v>
      </c>
      <c r="L2475" s="13">
        <v>72</v>
      </c>
      <c r="M2475" s="13">
        <v>130</v>
      </c>
      <c r="N2475" s="13">
        <v>1</v>
      </c>
      <c r="O2475" s="15"/>
      <c r="P2475" s="6">
        <v>43000.997071759259</v>
      </c>
      <c r="Q2475" s="16" t="s">
        <v>3679</v>
      </c>
      <c r="R2475" s="17" t="s">
        <v>8409</v>
      </c>
      <c r="S2475" s="12"/>
      <c r="T2475" s="12"/>
      <c r="U2475" s="10" t="str">
        <f>HYPERLINK("https://pbs.twimg.com/profile_images/1012040333167939584/oNtPcCYv.jpg","View")</f>
        <v>View</v>
      </c>
    </row>
    <row r="2476" spans="1:21" ht="13.2">
      <c r="A2476" s="6">
        <v>43435.61237268518</v>
      </c>
      <c r="B2476" s="7" t="str">
        <f>HYPERLINK("https://twitter.com/bowsskaebooks","@bowsskaebooks")</f>
        <v>@bowsskaebooks</v>
      </c>
      <c r="C2476" s="8" t="s">
        <v>4558</v>
      </c>
      <c r="D2476" s="9" t="s">
        <v>8410</v>
      </c>
      <c r="E2476" s="10" t="str">
        <f>HYPERLINK("https://twitter.com/bowsskaebooks/status/1068862736602406912","1068862736602406912")</f>
        <v>1068862736602406912</v>
      </c>
      <c r="F2476" s="12"/>
      <c r="G2476" s="12"/>
      <c r="H2476" s="12"/>
      <c r="I2476" s="13">
        <v>0</v>
      </c>
      <c r="J2476" s="13">
        <v>0</v>
      </c>
      <c r="K2476" s="14" t="str">
        <f>HYPERLINK("http://www.foo.com/","bowsskaebooks")</f>
        <v>bowsskaebooks</v>
      </c>
      <c r="L2476" s="13">
        <v>7</v>
      </c>
      <c r="M2476" s="13">
        <v>1</v>
      </c>
      <c r="N2476" s="13">
        <v>0</v>
      </c>
      <c r="O2476" s="15"/>
      <c r="P2476" s="6">
        <v>42965.398344907408</v>
      </c>
      <c r="Q2476" s="12"/>
      <c r="R2476" s="17" t="s">
        <v>4560</v>
      </c>
      <c r="S2476" s="12"/>
      <c r="T2476" s="12"/>
      <c r="U2476" s="10" t="str">
        <f>HYPERLINK("https://pbs.twimg.com/profile_images/898449008099827712/vTR_8kbH.jpg","View")</f>
        <v>View</v>
      </c>
    </row>
    <row r="2477" spans="1:21" ht="91.8">
      <c r="A2477" s="6">
        <v>43435.611168981486</v>
      </c>
      <c r="B2477" s="7" t="str">
        <f>HYPERLINK("https://twitter.com/Pepo1952","@Pepo1952")</f>
        <v>@Pepo1952</v>
      </c>
      <c r="C2477" s="8" t="s">
        <v>8411</v>
      </c>
      <c r="D2477" s="9" t="s">
        <v>8412</v>
      </c>
      <c r="E2477" s="10" t="str">
        <f>HYPERLINK("https://twitter.com/Pepo1952/status/1068862299417530368","1068862299417530368")</f>
        <v>1068862299417530368</v>
      </c>
      <c r="F2477" s="11" t="s">
        <v>8413</v>
      </c>
      <c r="G2477" s="12"/>
      <c r="H2477" s="12"/>
      <c r="I2477" s="13">
        <v>1</v>
      </c>
      <c r="J2477" s="13">
        <v>0</v>
      </c>
      <c r="K2477" s="14" t="str">
        <f t="shared" ref="K2477:K2478" si="443">HYPERLINK("http://twitter.com/download/android","Twitter for Android")</f>
        <v>Twitter for Android</v>
      </c>
      <c r="L2477" s="13">
        <v>146</v>
      </c>
      <c r="M2477" s="13">
        <v>268</v>
      </c>
      <c r="N2477" s="13">
        <v>0</v>
      </c>
      <c r="O2477" s="15"/>
      <c r="P2477" s="6">
        <v>42153.4605787037</v>
      </c>
      <c r="Q2477" s="16" t="s">
        <v>8414</v>
      </c>
      <c r="R2477" s="20"/>
      <c r="S2477" s="12"/>
      <c r="T2477" s="12"/>
      <c r="U2477" s="10" t="str">
        <f>HYPERLINK("https://pbs.twimg.com/profile_images/604801691884638208/i2rscXzJ.jpg","View")</f>
        <v>View</v>
      </c>
    </row>
    <row r="2478" spans="1:21" ht="40.799999999999997">
      <c r="A2478" s="6">
        <v>43435.610856481479</v>
      </c>
      <c r="B2478" s="7" t="str">
        <f>HYPERLINK("https://twitter.com/alexferduran","@alexferduran")</f>
        <v>@alexferduran</v>
      </c>
      <c r="C2478" s="8" t="s">
        <v>8415</v>
      </c>
      <c r="D2478" s="9" t="s">
        <v>3608</v>
      </c>
      <c r="E2478" s="10" t="str">
        <f>HYPERLINK("https://twitter.com/alexferduran/status/1068862186540421120","1068862186540421120")</f>
        <v>1068862186540421120</v>
      </c>
      <c r="F2478" s="11" t="s">
        <v>8416</v>
      </c>
      <c r="G2478" s="11" t="s">
        <v>7585</v>
      </c>
      <c r="H2478" s="12"/>
      <c r="I2478" s="13">
        <v>0</v>
      </c>
      <c r="J2478" s="13">
        <v>0</v>
      </c>
      <c r="K2478" s="14" t="str">
        <f t="shared" si="443"/>
        <v>Twitter for Android</v>
      </c>
      <c r="L2478" s="13">
        <v>809</v>
      </c>
      <c r="M2478" s="13">
        <v>1166</v>
      </c>
      <c r="N2478" s="13">
        <v>21</v>
      </c>
      <c r="O2478" s="15"/>
      <c r="P2478" s="6">
        <v>41025.921342592592</v>
      </c>
      <c r="Q2478" s="16" t="s">
        <v>30</v>
      </c>
      <c r="R2478" s="17" t="s">
        <v>8417</v>
      </c>
      <c r="S2478" s="11" t="s">
        <v>8418</v>
      </c>
      <c r="T2478" s="12"/>
      <c r="U2478" s="10" t="str">
        <f>HYPERLINK("https://pbs.twimg.com/profile_images/961680803804610560/UOwTdqa3.jpg","View")</f>
        <v>View</v>
      </c>
    </row>
    <row r="2479" spans="1:21" ht="13.2">
      <c r="A2479" s="22"/>
      <c r="B2479" s="23"/>
      <c r="C2479" s="23"/>
      <c r="D2479" s="24"/>
      <c r="E2479" s="15"/>
      <c r="F2479" s="12"/>
      <c r="G2479" s="12"/>
      <c r="H2479" s="12"/>
      <c r="I2479" s="15"/>
      <c r="J2479" s="15"/>
      <c r="K2479" s="12"/>
      <c r="L2479" s="15"/>
      <c r="M2479" s="15"/>
      <c r="N2479" s="15"/>
      <c r="O2479" s="15"/>
      <c r="P2479" s="22"/>
      <c r="Q2479" s="12"/>
      <c r="R2479" s="20"/>
      <c r="S2479" s="12"/>
      <c r="T2479" s="12"/>
      <c r="U2479" s="15"/>
    </row>
    <row r="2480" spans="1:21" ht="13.2">
      <c r="A2480" s="25"/>
      <c r="B2480" s="23"/>
      <c r="C2480" s="23"/>
      <c r="D2480" s="24"/>
      <c r="E2480" s="15"/>
      <c r="F2480" s="15"/>
      <c r="G2480" s="15"/>
      <c r="H2480" s="15"/>
      <c r="I2480" s="15"/>
      <c r="J2480" s="15"/>
      <c r="K2480" s="15"/>
      <c r="L2480" s="15"/>
      <c r="M2480" s="15"/>
      <c r="N2480" s="15"/>
      <c r="O2480" s="15"/>
      <c r="P2480" s="15"/>
      <c r="Q2480" s="12"/>
      <c r="R2480" s="20"/>
      <c r="S2480" s="15"/>
      <c r="T2480" s="15"/>
      <c r="U2480" s="15"/>
    </row>
    <row r="2481" spans="1:21" ht="13.2">
      <c r="A2481" s="25"/>
      <c r="B2481" s="23"/>
      <c r="C2481" s="23"/>
      <c r="D2481" s="24"/>
      <c r="E2481" s="15"/>
      <c r="F2481" s="15"/>
      <c r="G2481" s="15"/>
      <c r="H2481" s="15"/>
      <c r="I2481" s="15"/>
      <c r="J2481" s="15"/>
      <c r="K2481" s="15"/>
      <c r="L2481" s="15"/>
      <c r="M2481" s="15"/>
      <c r="N2481" s="15"/>
      <c r="O2481" s="15"/>
      <c r="P2481" s="15"/>
      <c r="Q2481" s="12"/>
      <c r="R2481" s="20"/>
      <c r="S2481" s="15"/>
      <c r="T2481" s="15"/>
      <c r="U2481" s="15"/>
    </row>
    <row r="2482" spans="1:21" ht="13.2">
      <c r="A2482" s="25"/>
      <c r="B2482" s="23"/>
      <c r="C2482" s="23"/>
      <c r="D2482" s="24"/>
      <c r="E2482" s="15"/>
      <c r="F2482" s="15"/>
      <c r="G2482" s="15"/>
      <c r="H2482" s="15"/>
      <c r="I2482" s="15"/>
      <c r="J2482" s="15"/>
      <c r="K2482" s="15"/>
      <c r="L2482" s="15"/>
      <c r="M2482" s="15"/>
      <c r="N2482" s="15"/>
      <c r="O2482" s="15"/>
      <c r="P2482" s="15"/>
      <c r="Q2482" s="12"/>
      <c r="R2482" s="20"/>
      <c r="S2482" s="15"/>
      <c r="T2482" s="15"/>
      <c r="U2482" s="15"/>
    </row>
    <row r="2483" spans="1:21" ht="13.2">
      <c r="A2483" s="25"/>
      <c r="B2483" s="23"/>
      <c r="C2483" s="23"/>
      <c r="D2483" s="24"/>
      <c r="E2483" s="15"/>
      <c r="F2483" s="15"/>
      <c r="G2483" s="15"/>
      <c r="H2483" s="15"/>
      <c r="I2483" s="15"/>
      <c r="J2483" s="15"/>
      <c r="K2483" s="15"/>
      <c r="L2483" s="15"/>
      <c r="M2483" s="15"/>
      <c r="N2483" s="15"/>
      <c r="O2483" s="15"/>
      <c r="P2483" s="15"/>
      <c r="Q2483" s="12"/>
      <c r="R2483" s="20"/>
      <c r="S2483" s="15"/>
      <c r="T2483" s="15"/>
      <c r="U2483" s="15"/>
    </row>
    <row r="2484" spans="1:21" ht="13.2">
      <c r="A2484" s="25"/>
      <c r="B2484" s="23"/>
      <c r="C2484" s="23"/>
      <c r="D2484" s="24"/>
      <c r="E2484" s="15"/>
      <c r="F2484" s="15"/>
      <c r="G2484" s="15"/>
      <c r="H2484" s="15"/>
      <c r="I2484" s="15"/>
      <c r="J2484" s="15"/>
      <c r="K2484" s="15"/>
      <c r="L2484" s="15"/>
      <c r="M2484" s="15"/>
      <c r="N2484" s="15"/>
      <c r="O2484" s="15"/>
      <c r="P2484" s="15"/>
      <c r="Q2484" s="12"/>
      <c r="R2484" s="20"/>
      <c r="S2484" s="15"/>
      <c r="T2484" s="15"/>
      <c r="U2484" s="15"/>
    </row>
    <row r="2485" spans="1:21" ht="13.2">
      <c r="A2485" s="25"/>
      <c r="B2485" s="23"/>
      <c r="C2485" s="23"/>
      <c r="D2485" s="24"/>
      <c r="E2485" s="15"/>
      <c r="F2485" s="15"/>
      <c r="G2485" s="15"/>
      <c r="H2485" s="15"/>
      <c r="I2485" s="15"/>
      <c r="J2485" s="15"/>
      <c r="K2485" s="15"/>
      <c r="L2485" s="15"/>
      <c r="M2485" s="15"/>
      <c r="N2485" s="15"/>
      <c r="O2485" s="15"/>
      <c r="P2485" s="15"/>
      <c r="Q2485" s="12"/>
      <c r="R2485" s="20"/>
      <c r="S2485" s="15"/>
      <c r="T2485" s="15"/>
      <c r="U2485" s="15"/>
    </row>
    <row r="2486" spans="1:21" ht="13.2">
      <c r="A2486" s="19"/>
      <c r="B2486" s="23"/>
      <c r="C2486" s="23"/>
      <c r="D2486" s="24"/>
      <c r="E2486" s="15"/>
      <c r="F2486" s="15"/>
      <c r="G2486" s="15"/>
      <c r="H2486" s="15"/>
      <c r="I2486" s="15"/>
      <c r="J2486" s="15"/>
      <c r="K2486" s="15"/>
      <c r="L2486" s="15"/>
      <c r="M2486" s="15"/>
      <c r="N2486" s="15"/>
      <c r="O2486" s="15"/>
      <c r="P2486" s="15"/>
      <c r="Q2486" s="12"/>
      <c r="R2486" s="20"/>
      <c r="S2486" s="15"/>
      <c r="T2486" s="15"/>
      <c r="U2486" s="15"/>
    </row>
    <row r="2487" spans="1:21" ht="13.2">
      <c r="A2487" s="25"/>
      <c r="B2487" s="23"/>
      <c r="C2487" s="23"/>
      <c r="D2487" s="24"/>
      <c r="E2487" s="15"/>
      <c r="F2487" s="15"/>
      <c r="G2487" s="15"/>
      <c r="H2487" s="15"/>
      <c r="I2487" s="15"/>
      <c r="J2487" s="15"/>
      <c r="K2487" s="15"/>
      <c r="L2487" s="15"/>
      <c r="M2487" s="15"/>
      <c r="N2487" s="15"/>
      <c r="O2487" s="15"/>
      <c r="P2487" s="15"/>
      <c r="Q2487" s="12"/>
      <c r="R2487" s="20"/>
      <c r="S2487" s="15"/>
      <c r="T2487" s="15"/>
      <c r="U2487" s="15"/>
    </row>
    <row r="2488" spans="1:21" ht="13.2">
      <c r="A2488" s="25"/>
      <c r="B2488" s="23"/>
      <c r="C2488" s="23"/>
      <c r="D2488" s="24"/>
      <c r="E2488" s="15"/>
      <c r="F2488" s="15"/>
      <c r="G2488" s="15"/>
      <c r="H2488" s="15"/>
      <c r="I2488" s="15"/>
      <c r="J2488" s="15"/>
      <c r="K2488" s="15"/>
      <c r="L2488" s="15"/>
      <c r="M2488" s="15"/>
      <c r="N2488" s="15"/>
      <c r="O2488" s="15"/>
      <c r="P2488" s="15"/>
      <c r="Q2488" s="12"/>
      <c r="R2488" s="20"/>
      <c r="S2488" s="15"/>
      <c r="T2488" s="15"/>
      <c r="U2488" s="15"/>
    </row>
    <row r="2489" spans="1:21" ht="13.2">
      <c r="A2489" s="25"/>
      <c r="B2489" s="23"/>
      <c r="C2489" s="23"/>
      <c r="D2489" s="24"/>
      <c r="E2489" s="15"/>
      <c r="F2489" s="15"/>
      <c r="G2489" s="15"/>
      <c r="H2489" s="15"/>
      <c r="I2489" s="15"/>
      <c r="J2489" s="15"/>
      <c r="K2489" s="15"/>
      <c r="L2489" s="15"/>
      <c r="M2489" s="15"/>
      <c r="N2489" s="15"/>
      <c r="O2489" s="15"/>
      <c r="P2489" s="15"/>
      <c r="Q2489" s="12"/>
      <c r="R2489" s="20"/>
      <c r="S2489" s="15"/>
      <c r="T2489" s="15"/>
      <c r="U2489" s="15"/>
    </row>
    <row r="2490" spans="1:21" ht="13.2">
      <c r="A2490" s="25"/>
      <c r="B2490" s="23"/>
      <c r="C2490" s="23"/>
      <c r="D2490" s="24"/>
      <c r="E2490" s="15"/>
      <c r="F2490" s="15"/>
      <c r="G2490" s="15"/>
      <c r="H2490" s="15"/>
      <c r="I2490" s="15"/>
      <c r="J2490" s="15"/>
      <c r="K2490" s="15"/>
      <c r="L2490" s="15"/>
      <c r="M2490" s="15"/>
      <c r="N2490" s="15"/>
      <c r="O2490" s="15"/>
      <c r="P2490" s="15"/>
      <c r="Q2490" s="12"/>
      <c r="R2490" s="20"/>
      <c r="S2490" s="15"/>
      <c r="T2490" s="15"/>
      <c r="U2490" s="15"/>
    </row>
    <row r="2491" spans="1:21" ht="13.2">
      <c r="A2491" s="25"/>
      <c r="B2491" s="23"/>
      <c r="C2491" s="23"/>
      <c r="D2491" s="24"/>
      <c r="E2491" s="15"/>
      <c r="F2491" s="15"/>
      <c r="G2491" s="15"/>
      <c r="H2491" s="15"/>
      <c r="I2491" s="15"/>
      <c r="J2491" s="15"/>
      <c r="K2491" s="15"/>
      <c r="L2491" s="15"/>
      <c r="M2491" s="15"/>
      <c r="N2491" s="15"/>
      <c r="O2491" s="15"/>
      <c r="P2491" s="15"/>
      <c r="Q2491" s="12"/>
      <c r="R2491" s="20"/>
      <c r="S2491" s="15"/>
      <c r="T2491" s="15"/>
      <c r="U2491" s="15"/>
    </row>
    <row r="2492" spans="1:21" ht="13.2">
      <c r="A2492" s="25"/>
      <c r="B2492" s="23"/>
      <c r="C2492" s="23"/>
      <c r="D2492" s="24"/>
      <c r="E2492" s="15"/>
      <c r="F2492" s="15"/>
      <c r="G2492" s="15"/>
      <c r="H2492" s="15"/>
      <c r="I2492" s="15"/>
      <c r="J2492" s="15"/>
      <c r="K2492" s="15"/>
      <c r="L2492" s="15"/>
      <c r="M2492" s="15"/>
      <c r="N2492" s="15"/>
      <c r="O2492" s="15"/>
      <c r="P2492" s="15"/>
      <c r="Q2492" s="12"/>
      <c r="R2492" s="20"/>
      <c r="S2492" s="15"/>
      <c r="T2492" s="15"/>
      <c r="U2492" s="15"/>
    </row>
    <row r="2493" spans="1:21" ht="13.2">
      <c r="A2493" s="25"/>
      <c r="B2493" s="23"/>
      <c r="C2493" s="23"/>
      <c r="D2493" s="24"/>
      <c r="E2493" s="15"/>
      <c r="F2493" s="15"/>
      <c r="G2493" s="15"/>
      <c r="H2493" s="15"/>
      <c r="I2493" s="15"/>
      <c r="J2493" s="15"/>
      <c r="K2493" s="15"/>
      <c r="L2493" s="15"/>
      <c r="M2493" s="15"/>
      <c r="N2493" s="15"/>
      <c r="O2493" s="15"/>
      <c r="P2493" s="15"/>
      <c r="Q2493" s="12"/>
      <c r="R2493" s="20"/>
      <c r="S2493" s="15"/>
      <c r="T2493" s="15"/>
      <c r="U2493" s="15"/>
    </row>
    <row r="2494" spans="1:21" ht="13.2">
      <c r="A2494" s="25"/>
      <c r="B2494" s="23"/>
      <c r="C2494" s="23"/>
      <c r="D2494" s="24"/>
      <c r="E2494" s="15"/>
      <c r="F2494" s="15"/>
      <c r="G2494" s="15"/>
      <c r="H2494" s="15"/>
      <c r="I2494" s="15"/>
      <c r="J2494" s="15"/>
      <c r="K2494" s="15"/>
      <c r="L2494" s="15"/>
      <c r="M2494" s="15"/>
      <c r="N2494" s="15"/>
      <c r="O2494" s="15"/>
      <c r="P2494" s="15"/>
      <c r="Q2494" s="12"/>
      <c r="R2494" s="20"/>
      <c r="S2494" s="15"/>
      <c r="T2494" s="15"/>
      <c r="U2494" s="15"/>
    </row>
    <row r="2495" spans="1:21" ht="13.2">
      <c r="A2495" s="25"/>
      <c r="B2495" s="23"/>
      <c r="C2495" s="23"/>
      <c r="D2495" s="24"/>
      <c r="E2495" s="15"/>
      <c r="F2495" s="15"/>
      <c r="G2495" s="15"/>
      <c r="H2495" s="15"/>
      <c r="I2495" s="15"/>
      <c r="J2495" s="15"/>
      <c r="K2495" s="15"/>
      <c r="L2495" s="15"/>
      <c r="M2495" s="15"/>
      <c r="N2495" s="15"/>
      <c r="O2495" s="15"/>
      <c r="P2495" s="15"/>
      <c r="Q2495" s="12"/>
      <c r="R2495" s="20"/>
      <c r="S2495" s="15"/>
      <c r="T2495" s="15"/>
      <c r="U2495" s="15"/>
    </row>
    <row r="2496" spans="1:21" ht="13.2">
      <c r="A2496" s="25"/>
      <c r="B2496" s="23"/>
      <c r="C2496" s="23"/>
      <c r="D2496" s="24"/>
      <c r="E2496" s="15"/>
      <c r="F2496" s="15"/>
      <c r="G2496" s="15"/>
      <c r="H2496" s="15"/>
      <c r="I2496" s="15"/>
      <c r="J2496" s="15"/>
      <c r="K2496" s="15"/>
      <c r="L2496" s="15"/>
      <c r="M2496" s="15"/>
      <c r="N2496" s="15"/>
      <c r="O2496" s="15"/>
      <c r="P2496" s="15"/>
      <c r="Q2496" s="12"/>
      <c r="R2496" s="20"/>
      <c r="S2496" s="15"/>
      <c r="T2496" s="15"/>
      <c r="U2496" s="15"/>
    </row>
    <row r="2497" spans="1:21" ht="13.2">
      <c r="A2497" s="25"/>
      <c r="B2497" s="23"/>
      <c r="C2497" s="23"/>
      <c r="D2497" s="24"/>
      <c r="E2497" s="15"/>
      <c r="F2497" s="15"/>
      <c r="G2497" s="15"/>
      <c r="H2497" s="15"/>
      <c r="I2497" s="15"/>
      <c r="J2497" s="15"/>
      <c r="K2497" s="15"/>
      <c r="L2497" s="15"/>
      <c r="M2497" s="15"/>
      <c r="N2497" s="15"/>
      <c r="O2497" s="15"/>
      <c r="P2497" s="15"/>
      <c r="Q2497" s="12"/>
      <c r="R2497" s="20"/>
      <c r="S2497" s="15"/>
      <c r="T2497" s="15"/>
      <c r="U2497" s="15"/>
    </row>
    <row r="2498" spans="1:21" ht="13.2">
      <c r="A2498" s="25"/>
      <c r="B2498" s="23"/>
      <c r="C2498" s="23"/>
      <c r="D2498" s="24"/>
      <c r="E2498" s="15"/>
      <c r="F2498" s="15"/>
      <c r="G2498" s="15"/>
      <c r="H2498" s="15"/>
      <c r="I2498" s="15"/>
      <c r="J2498" s="15"/>
      <c r="K2498" s="15"/>
      <c r="L2498" s="15"/>
      <c r="M2498" s="15"/>
      <c r="N2498" s="15"/>
      <c r="O2498" s="15"/>
      <c r="P2498" s="15"/>
      <c r="Q2498" s="12"/>
      <c r="R2498" s="20"/>
      <c r="S2498" s="15"/>
      <c r="T2498" s="15"/>
      <c r="U2498" s="15"/>
    </row>
    <row r="2499" spans="1:21" ht="13.2">
      <c r="A2499" s="25"/>
      <c r="B2499" s="23"/>
      <c r="C2499" s="23"/>
      <c r="D2499" s="24"/>
      <c r="E2499" s="15"/>
      <c r="F2499" s="15"/>
      <c r="G2499" s="15"/>
      <c r="H2499" s="15"/>
      <c r="I2499" s="15"/>
      <c r="J2499" s="15"/>
      <c r="K2499" s="15"/>
      <c r="L2499" s="15"/>
      <c r="M2499" s="15"/>
      <c r="N2499" s="15"/>
      <c r="O2499" s="15"/>
      <c r="P2499" s="15"/>
      <c r="Q2499" s="12"/>
      <c r="R2499" s="20"/>
      <c r="S2499" s="15"/>
      <c r="T2499" s="15"/>
      <c r="U2499" s="15"/>
    </row>
    <row r="2500" spans="1:21" ht="13.2">
      <c r="A2500" s="25"/>
      <c r="B2500" s="23"/>
      <c r="C2500" s="23"/>
      <c r="D2500" s="24"/>
      <c r="E2500" s="15"/>
      <c r="F2500" s="15"/>
      <c r="G2500" s="15"/>
      <c r="H2500" s="15"/>
      <c r="I2500" s="15"/>
      <c r="J2500" s="15"/>
      <c r="K2500" s="15"/>
      <c r="L2500" s="15"/>
      <c r="M2500" s="15"/>
      <c r="N2500" s="15"/>
      <c r="O2500" s="15"/>
      <c r="P2500" s="15"/>
      <c r="Q2500" s="12"/>
      <c r="R2500" s="20"/>
      <c r="S2500" s="15"/>
      <c r="T2500" s="15"/>
      <c r="U2500" s="15"/>
    </row>
    <row r="2501" spans="1:21" ht="13.2">
      <c r="A2501" s="25"/>
      <c r="B2501" s="23"/>
      <c r="C2501" s="23"/>
      <c r="D2501" s="24"/>
      <c r="E2501" s="15"/>
      <c r="F2501" s="15"/>
      <c r="G2501" s="15"/>
      <c r="H2501" s="15"/>
      <c r="I2501" s="15"/>
      <c r="J2501" s="15"/>
      <c r="K2501" s="15"/>
      <c r="L2501" s="15"/>
      <c r="M2501" s="15"/>
      <c r="N2501" s="15"/>
      <c r="O2501" s="15"/>
      <c r="P2501" s="15"/>
      <c r="Q2501" s="12"/>
      <c r="R2501" s="20"/>
      <c r="S2501" s="15"/>
      <c r="T2501" s="15"/>
      <c r="U2501" s="15"/>
    </row>
  </sheetData>
  <mergeCells count="2">
    <mergeCell ref="A1:K1"/>
    <mergeCell ref="L1:U1"/>
  </mergeCells>
  <hyperlinks>
    <hyperlink ref="F3" r:id="rId1" location=".XAvyuRIzpQw.twitter" xr:uid="{00000000-0004-0000-0200-000000000000}"/>
    <hyperlink ref="S4" r:id="rId2" xr:uid="{00000000-0004-0000-0200-000001000000}"/>
    <hyperlink ref="F5" r:id="rId3" xr:uid="{00000000-0004-0000-0200-000002000000}"/>
    <hyperlink ref="S5" r:id="rId4" xr:uid="{00000000-0004-0000-0200-000003000000}"/>
    <hyperlink ref="F6" r:id="rId5" xr:uid="{00000000-0004-0000-0200-000004000000}"/>
    <hyperlink ref="S6" r:id="rId6" xr:uid="{00000000-0004-0000-0200-000005000000}"/>
    <hyperlink ref="F7" r:id="rId7" xr:uid="{00000000-0004-0000-0200-000006000000}"/>
    <hyperlink ref="F8" r:id="rId8" location="Echobox=1544285796" xr:uid="{00000000-0004-0000-0200-000007000000}"/>
    <hyperlink ref="S8" r:id="rId9" xr:uid="{00000000-0004-0000-0200-000008000000}"/>
    <hyperlink ref="S9" r:id="rId10" xr:uid="{00000000-0004-0000-0200-000009000000}"/>
    <hyperlink ref="F11" r:id="rId11" xr:uid="{00000000-0004-0000-0200-00000A000000}"/>
    <hyperlink ref="S11" r:id="rId12" xr:uid="{00000000-0004-0000-0200-00000B000000}"/>
    <hyperlink ref="F12" r:id="rId13" location=".XAvreg-DHMR.twitter" xr:uid="{00000000-0004-0000-0200-00000C000000}"/>
    <hyperlink ref="F13" r:id="rId14" xr:uid="{00000000-0004-0000-0200-00000D000000}"/>
    <hyperlink ref="S13" r:id="rId15" xr:uid="{00000000-0004-0000-0200-00000E000000}"/>
    <hyperlink ref="F14" r:id="rId16" location=".XAvqXHBT2gg.twitter" xr:uid="{00000000-0004-0000-0200-00000F000000}"/>
    <hyperlink ref="S15" r:id="rId17" xr:uid="{00000000-0004-0000-0200-000010000000}"/>
    <hyperlink ref="G16" r:id="rId18" xr:uid="{00000000-0004-0000-0200-000011000000}"/>
    <hyperlink ref="G17" r:id="rId19" xr:uid="{00000000-0004-0000-0200-000012000000}"/>
    <hyperlink ref="F18" r:id="rId20" xr:uid="{00000000-0004-0000-0200-000013000000}"/>
    <hyperlink ref="S18" r:id="rId21" xr:uid="{00000000-0004-0000-0200-000014000000}"/>
    <hyperlink ref="F19" r:id="rId22" xr:uid="{00000000-0004-0000-0200-000015000000}"/>
    <hyperlink ref="S19" r:id="rId23" xr:uid="{00000000-0004-0000-0200-000016000000}"/>
    <hyperlink ref="G20" r:id="rId24" xr:uid="{00000000-0004-0000-0200-000017000000}"/>
    <hyperlink ref="S20" r:id="rId25" xr:uid="{00000000-0004-0000-0200-000018000000}"/>
    <hyperlink ref="F21" r:id="rId26" xr:uid="{00000000-0004-0000-0200-000019000000}"/>
    <hyperlink ref="F23" r:id="rId27" xr:uid="{00000000-0004-0000-0200-00001A000000}"/>
    <hyperlink ref="F24" r:id="rId28" xr:uid="{00000000-0004-0000-0200-00001B000000}"/>
    <hyperlink ref="F25" r:id="rId29" xr:uid="{00000000-0004-0000-0200-00001C000000}"/>
    <hyperlink ref="F26" r:id="rId30" location=".XAvbgOAFoYk.facebook" xr:uid="{00000000-0004-0000-0200-00001D000000}"/>
    <hyperlink ref="C27" r:id="rId31" xr:uid="{00000000-0004-0000-0200-00001E000000}"/>
    <hyperlink ref="F27" r:id="rId32" xr:uid="{00000000-0004-0000-0200-00001F000000}"/>
    <hyperlink ref="S27" r:id="rId33" xr:uid="{00000000-0004-0000-0200-000020000000}"/>
    <hyperlink ref="F28" r:id="rId34" xr:uid="{00000000-0004-0000-0200-000021000000}"/>
    <hyperlink ref="S28" r:id="rId35" xr:uid="{00000000-0004-0000-0200-000022000000}"/>
    <hyperlink ref="F29" r:id="rId36" xr:uid="{00000000-0004-0000-0200-000023000000}"/>
    <hyperlink ref="G29" r:id="rId37" xr:uid="{00000000-0004-0000-0200-000024000000}"/>
    <hyperlink ref="F31" r:id="rId38" xr:uid="{00000000-0004-0000-0200-000025000000}"/>
    <hyperlink ref="G31" r:id="rId39" xr:uid="{00000000-0004-0000-0200-000026000000}"/>
    <hyperlink ref="S31" r:id="rId40" xr:uid="{00000000-0004-0000-0200-000027000000}"/>
    <hyperlink ref="F32" r:id="rId41" xr:uid="{00000000-0004-0000-0200-000028000000}"/>
    <hyperlink ref="G32" r:id="rId42" xr:uid="{00000000-0004-0000-0200-000029000000}"/>
    <hyperlink ref="S32" r:id="rId43" xr:uid="{00000000-0004-0000-0200-00002A000000}"/>
    <hyperlink ref="F33" r:id="rId44" xr:uid="{00000000-0004-0000-0200-00002B000000}"/>
    <hyperlink ref="S33" r:id="rId45" xr:uid="{00000000-0004-0000-0200-00002C000000}"/>
    <hyperlink ref="F34" r:id="rId46" xr:uid="{00000000-0004-0000-0200-00002D000000}"/>
    <hyperlink ref="S34" r:id="rId47" xr:uid="{00000000-0004-0000-0200-00002E000000}"/>
    <hyperlink ref="G36" r:id="rId48" xr:uid="{00000000-0004-0000-0200-00002F000000}"/>
    <hyperlink ref="S36" r:id="rId49" xr:uid="{00000000-0004-0000-0200-000030000000}"/>
    <hyperlink ref="G37" r:id="rId50" xr:uid="{00000000-0004-0000-0200-000031000000}"/>
    <hyperlink ref="S37" r:id="rId51" xr:uid="{00000000-0004-0000-0200-000032000000}"/>
    <hyperlink ref="F39" r:id="rId52" xr:uid="{00000000-0004-0000-0200-000033000000}"/>
    <hyperlink ref="G39" r:id="rId53" xr:uid="{00000000-0004-0000-0200-000034000000}"/>
    <hyperlink ref="S39" r:id="rId54" xr:uid="{00000000-0004-0000-0200-000035000000}"/>
    <hyperlink ref="F40" r:id="rId55" xr:uid="{00000000-0004-0000-0200-000036000000}"/>
    <hyperlink ref="S40" r:id="rId56" xr:uid="{00000000-0004-0000-0200-000037000000}"/>
    <hyperlink ref="F41" r:id="rId57" xr:uid="{00000000-0004-0000-0200-000038000000}"/>
    <hyperlink ref="S41" r:id="rId58" xr:uid="{00000000-0004-0000-0200-000039000000}"/>
    <hyperlink ref="G42" r:id="rId59" xr:uid="{00000000-0004-0000-0200-00003A000000}"/>
    <hyperlink ref="S43" r:id="rId60" xr:uid="{00000000-0004-0000-0200-00003B000000}"/>
    <hyperlink ref="F44" r:id="rId61" xr:uid="{00000000-0004-0000-0200-00003C000000}"/>
    <hyperlink ref="S44" r:id="rId62" xr:uid="{00000000-0004-0000-0200-00003D000000}"/>
    <hyperlink ref="F45" r:id="rId63" xr:uid="{00000000-0004-0000-0200-00003E000000}"/>
    <hyperlink ref="S45" r:id="rId64" xr:uid="{00000000-0004-0000-0200-00003F000000}"/>
    <hyperlink ref="F46" r:id="rId65" xr:uid="{00000000-0004-0000-0200-000040000000}"/>
    <hyperlink ref="G46" r:id="rId66" xr:uid="{00000000-0004-0000-0200-000041000000}"/>
    <hyperlink ref="F47" r:id="rId67" xr:uid="{00000000-0004-0000-0200-000042000000}"/>
    <hyperlink ref="F48" r:id="rId68" xr:uid="{00000000-0004-0000-0200-000043000000}"/>
    <hyperlink ref="F49" r:id="rId69" xr:uid="{00000000-0004-0000-0200-000044000000}"/>
    <hyperlink ref="S49" r:id="rId70" xr:uid="{00000000-0004-0000-0200-000045000000}"/>
    <hyperlink ref="G53" r:id="rId71" xr:uid="{00000000-0004-0000-0200-000046000000}"/>
    <hyperlink ref="F54" r:id="rId72" xr:uid="{00000000-0004-0000-0200-000047000000}"/>
    <hyperlink ref="S54" r:id="rId73" xr:uid="{00000000-0004-0000-0200-000048000000}"/>
    <hyperlink ref="F55" r:id="rId74" xr:uid="{00000000-0004-0000-0200-000049000000}"/>
    <hyperlink ref="F57" r:id="rId75" xr:uid="{00000000-0004-0000-0200-00004A000000}"/>
    <hyperlink ref="S57" r:id="rId76" xr:uid="{00000000-0004-0000-0200-00004B000000}"/>
    <hyperlink ref="F59" r:id="rId77" xr:uid="{00000000-0004-0000-0200-00004C000000}"/>
    <hyperlink ref="S59" r:id="rId78" xr:uid="{00000000-0004-0000-0200-00004D000000}"/>
    <hyperlink ref="F61" r:id="rId79" xr:uid="{00000000-0004-0000-0200-00004E000000}"/>
    <hyperlink ref="F62" r:id="rId80" xr:uid="{00000000-0004-0000-0200-00004F000000}"/>
    <hyperlink ref="G65" r:id="rId81" xr:uid="{00000000-0004-0000-0200-000050000000}"/>
    <hyperlink ref="F66" r:id="rId82" xr:uid="{00000000-0004-0000-0200-000051000000}"/>
    <hyperlink ref="F68" r:id="rId83" xr:uid="{00000000-0004-0000-0200-000052000000}"/>
    <hyperlink ref="S68" r:id="rId84" xr:uid="{00000000-0004-0000-0200-000053000000}"/>
    <hyperlink ref="F69" r:id="rId85" xr:uid="{00000000-0004-0000-0200-000054000000}"/>
    <hyperlink ref="S69" r:id="rId86" xr:uid="{00000000-0004-0000-0200-000055000000}"/>
    <hyperlink ref="F70" r:id="rId87" xr:uid="{00000000-0004-0000-0200-000056000000}"/>
    <hyperlink ref="S72" r:id="rId88" xr:uid="{00000000-0004-0000-0200-000057000000}"/>
    <hyperlink ref="G74" r:id="rId89" xr:uid="{00000000-0004-0000-0200-000058000000}"/>
    <hyperlink ref="S74" r:id="rId90" xr:uid="{00000000-0004-0000-0200-000059000000}"/>
    <hyperlink ref="G75" r:id="rId91" xr:uid="{00000000-0004-0000-0200-00005A000000}"/>
    <hyperlink ref="S76" r:id="rId92" xr:uid="{00000000-0004-0000-0200-00005B000000}"/>
    <hyperlink ref="F77" r:id="rId93" xr:uid="{00000000-0004-0000-0200-00005C000000}"/>
    <hyperlink ref="F78" r:id="rId94" xr:uid="{00000000-0004-0000-0200-00005D000000}"/>
    <hyperlink ref="G78" r:id="rId95" xr:uid="{00000000-0004-0000-0200-00005E000000}"/>
    <hyperlink ref="S78" r:id="rId96" xr:uid="{00000000-0004-0000-0200-00005F000000}"/>
    <hyperlink ref="F79" r:id="rId97" xr:uid="{00000000-0004-0000-0200-000060000000}"/>
    <hyperlink ref="F80" r:id="rId98" xr:uid="{00000000-0004-0000-0200-000061000000}"/>
    <hyperlink ref="F82" r:id="rId99" xr:uid="{00000000-0004-0000-0200-000062000000}"/>
    <hyperlink ref="S82" r:id="rId100" xr:uid="{00000000-0004-0000-0200-000063000000}"/>
    <hyperlink ref="F83" r:id="rId101" xr:uid="{00000000-0004-0000-0200-000064000000}"/>
    <hyperlink ref="S83" r:id="rId102" xr:uid="{00000000-0004-0000-0200-000065000000}"/>
    <hyperlink ref="F84" r:id="rId103" xr:uid="{00000000-0004-0000-0200-000066000000}"/>
    <hyperlink ref="G86" r:id="rId104" xr:uid="{00000000-0004-0000-0200-000067000000}"/>
    <hyperlink ref="S86" r:id="rId105" xr:uid="{00000000-0004-0000-0200-000068000000}"/>
    <hyperlink ref="C87" r:id="rId106" xr:uid="{00000000-0004-0000-0200-000069000000}"/>
    <hyperlink ref="F87" r:id="rId107" xr:uid="{00000000-0004-0000-0200-00006A000000}"/>
    <hyperlink ref="S87" r:id="rId108" xr:uid="{00000000-0004-0000-0200-00006B000000}"/>
    <hyperlink ref="F88" r:id="rId109" xr:uid="{00000000-0004-0000-0200-00006C000000}"/>
    <hyperlink ref="G89" r:id="rId110" xr:uid="{00000000-0004-0000-0200-00006D000000}"/>
    <hyperlink ref="F90" r:id="rId111" xr:uid="{00000000-0004-0000-0200-00006E000000}"/>
    <hyperlink ref="F91" r:id="rId112" xr:uid="{00000000-0004-0000-0200-00006F000000}"/>
    <hyperlink ref="F92" r:id="rId113" xr:uid="{00000000-0004-0000-0200-000070000000}"/>
    <hyperlink ref="F93" r:id="rId114" xr:uid="{00000000-0004-0000-0200-000071000000}"/>
    <hyperlink ref="S93" r:id="rId115" xr:uid="{00000000-0004-0000-0200-000072000000}"/>
    <hyperlink ref="F94" r:id="rId116" xr:uid="{00000000-0004-0000-0200-000073000000}"/>
    <hyperlink ref="F95" r:id="rId117" xr:uid="{00000000-0004-0000-0200-000074000000}"/>
    <hyperlink ref="G95" r:id="rId118" xr:uid="{00000000-0004-0000-0200-000075000000}"/>
    <hyperlink ref="S95" r:id="rId119" xr:uid="{00000000-0004-0000-0200-000076000000}"/>
    <hyperlink ref="F96" r:id="rId120" xr:uid="{00000000-0004-0000-0200-000077000000}"/>
    <hyperlink ref="S97" r:id="rId121" xr:uid="{00000000-0004-0000-0200-000078000000}"/>
    <hyperlink ref="F98" r:id="rId122" xr:uid="{00000000-0004-0000-0200-000079000000}"/>
    <hyperlink ref="F99" r:id="rId123" xr:uid="{00000000-0004-0000-0200-00007A000000}"/>
    <hyperlink ref="F100" r:id="rId124" xr:uid="{00000000-0004-0000-0200-00007B000000}"/>
    <hyperlink ref="F101" r:id="rId125" xr:uid="{00000000-0004-0000-0200-00007C000000}"/>
    <hyperlink ref="F102" r:id="rId126" xr:uid="{00000000-0004-0000-0200-00007D000000}"/>
    <hyperlink ref="F105" r:id="rId127" xr:uid="{00000000-0004-0000-0200-00007E000000}"/>
    <hyperlink ref="F106" r:id="rId128" xr:uid="{00000000-0004-0000-0200-00007F000000}"/>
    <hyperlink ref="S106" r:id="rId129" xr:uid="{00000000-0004-0000-0200-000080000000}"/>
    <hyperlink ref="F107" r:id="rId130" xr:uid="{00000000-0004-0000-0200-000081000000}"/>
    <hyperlink ref="F108" r:id="rId131" xr:uid="{00000000-0004-0000-0200-000082000000}"/>
    <hyperlink ref="G109" r:id="rId132" xr:uid="{00000000-0004-0000-0200-000083000000}"/>
    <hyperlink ref="F110" r:id="rId133" xr:uid="{00000000-0004-0000-0200-000084000000}"/>
    <hyperlink ref="S110" r:id="rId134" xr:uid="{00000000-0004-0000-0200-000085000000}"/>
    <hyperlink ref="F111" r:id="rId135" xr:uid="{00000000-0004-0000-0200-000086000000}"/>
    <hyperlink ref="S111" r:id="rId136" xr:uid="{00000000-0004-0000-0200-000087000000}"/>
    <hyperlink ref="F112" r:id="rId137" xr:uid="{00000000-0004-0000-0200-000088000000}"/>
    <hyperlink ref="S112" r:id="rId138" xr:uid="{00000000-0004-0000-0200-000089000000}"/>
    <hyperlink ref="F114" r:id="rId139" xr:uid="{00000000-0004-0000-0200-00008A000000}"/>
    <hyperlink ref="F115" r:id="rId140" xr:uid="{00000000-0004-0000-0200-00008B000000}"/>
    <hyperlink ref="S115" r:id="rId141" xr:uid="{00000000-0004-0000-0200-00008C000000}"/>
    <hyperlink ref="F116" r:id="rId142" xr:uid="{00000000-0004-0000-0200-00008D000000}"/>
    <hyperlink ref="S116" r:id="rId143" xr:uid="{00000000-0004-0000-0200-00008E000000}"/>
    <hyperlink ref="F117" r:id="rId144" xr:uid="{00000000-0004-0000-0200-00008F000000}"/>
    <hyperlink ref="F118" r:id="rId145" xr:uid="{00000000-0004-0000-0200-000090000000}"/>
    <hyperlink ref="S118" r:id="rId146" xr:uid="{00000000-0004-0000-0200-000091000000}"/>
    <hyperlink ref="F119" r:id="rId147" xr:uid="{00000000-0004-0000-0200-000092000000}"/>
    <hyperlink ref="S119" r:id="rId148" xr:uid="{00000000-0004-0000-0200-000093000000}"/>
    <hyperlink ref="F120" r:id="rId149" xr:uid="{00000000-0004-0000-0200-000094000000}"/>
    <hyperlink ref="S120" r:id="rId150" xr:uid="{00000000-0004-0000-0200-000095000000}"/>
    <hyperlink ref="S121" r:id="rId151" xr:uid="{00000000-0004-0000-0200-000096000000}"/>
    <hyperlink ref="S122" r:id="rId152" xr:uid="{00000000-0004-0000-0200-000097000000}"/>
    <hyperlink ref="F124" r:id="rId153" xr:uid="{00000000-0004-0000-0200-000098000000}"/>
    <hyperlink ref="S124" r:id="rId154" xr:uid="{00000000-0004-0000-0200-000099000000}"/>
    <hyperlink ref="F125" r:id="rId155" xr:uid="{00000000-0004-0000-0200-00009A000000}"/>
    <hyperlink ref="F126" r:id="rId156" xr:uid="{00000000-0004-0000-0200-00009B000000}"/>
    <hyperlink ref="F127" r:id="rId157" xr:uid="{00000000-0004-0000-0200-00009C000000}"/>
    <hyperlink ref="F128" r:id="rId158" xr:uid="{00000000-0004-0000-0200-00009D000000}"/>
    <hyperlink ref="S128" r:id="rId159" xr:uid="{00000000-0004-0000-0200-00009E000000}"/>
    <hyperlink ref="F129" r:id="rId160" xr:uid="{00000000-0004-0000-0200-00009F000000}"/>
    <hyperlink ref="F130" r:id="rId161" xr:uid="{00000000-0004-0000-0200-0000A0000000}"/>
    <hyperlink ref="S130" r:id="rId162" location="!/mercedes.mosquerabango.7?ref=bookmark" xr:uid="{00000000-0004-0000-0200-0000A1000000}"/>
    <hyperlink ref="F131" r:id="rId163" xr:uid="{00000000-0004-0000-0200-0000A2000000}"/>
    <hyperlink ref="G131" r:id="rId164" xr:uid="{00000000-0004-0000-0200-0000A3000000}"/>
    <hyperlink ref="S131" r:id="rId165" xr:uid="{00000000-0004-0000-0200-0000A4000000}"/>
    <hyperlink ref="F132" r:id="rId166" xr:uid="{00000000-0004-0000-0200-0000A5000000}"/>
    <hyperlink ref="S132" r:id="rId167" xr:uid="{00000000-0004-0000-0200-0000A6000000}"/>
    <hyperlink ref="F133" r:id="rId168" xr:uid="{00000000-0004-0000-0200-0000A7000000}"/>
    <hyperlink ref="S133" r:id="rId169" xr:uid="{00000000-0004-0000-0200-0000A8000000}"/>
    <hyperlink ref="F134" r:id="rId170" xr:uid="{00000000-0004-0000-0200-0000A9000000}"/>
    <hyperlink ref="F135" r:id="rId171" xr:uid="{00000000-0004-0000-0200-0000AA000000}"/>
    <hyperlink ref="S135" r:id="rId172" xr:uid="{00000000-0004-0000-0200-0000AB000000}"/>
    <hyperlink ref="F136" r:id="rId173" xr:uid="{00000000-0004-0000-0200-0000AC000000}"/>
    <hyperlink ref="F137" r:id="rId174" xr:uid="{00000000-0004-0000-0200-0000AD000000}"/>
    <hyperlink ref="S137" r:id="rId175" xr:uid="{00000000-0004-0000-0200-0000AE000000}"/>
    <hyperlink ref="F138" r:id="rId176" xr:uid="{00000000-0004-0000-0200-0000AF000000}"/>
    <hyperlink ref="F140" r:id="rId177" xr:uid="{00000000-0004-0000-0200-0000B0000000}"/>
    <hyperlink ref="F141" r:id="rId178" xr:uid="{00000000-0004-0000-0200-0000B1000000}"/>
    <hyperlink ref="S144" r:id="rId179" xr:uid="{00000000-0004-0000-0200-0000B2000000}"/>
    <hyperlink ref="F146" r:id="rId180" xr:uid="{00000000-0004-0000-0200-0000B3000000}"/>
    <hyperlink ref="F147" r:id="rId181" xr:uid="{00000000-0004-0000-0200-0000B4000000}"/>
    <hyperlink ref="S147" r:id="rId182" xr:uid="{00000000-0004-0000-0200-0000B5000000}"/>
    <hyperlink ref="F148" r:id="rId183" xr:uid="{00000000-0004-0000-0200-0000B6000000}"/>
    <hyperlink ref="S149" r:id="rId184" xr:uid="{00000000-0004-0000-0200-0000B7000000}"/>
    <hyperlink ref="F150" r:id="rId185" xr:uid="{00000000-0004-0000-0200-0000B8000000}"/>
    <hyperlink ref="F151" r:id="rId186" xr:uid="{00000000-0004-0000-0200-0000B9000000}"/>
    <hyperlink ref="S151" r:id="rId187" xr:uid="{00000000-0004-0000-0200-0000BA000000}"/>
    <hyperlink ref="F153" r:id="rId188" xr:uid="{00000000-0004-0000-0200-0000BB000000}"/>
    <hyperlink ref="S153" r:id="rId189" xr:uid="{00000000-0004-0000-0200-0000BC000000}"/>
    <hyperlink ref="F154" r:id="rId190" xr:uid="{00000000-0004-0000-0200-0000BD000000}"/>
    <hyperlink ref="S154" r:id="rId191" xr:uid="{00000000-0004-0000-0200-0000BE000000}"/>
    <hyperlink ref="F155" r:id="rId192" xr:uid="{00000000-0004-0000-0200-0000BF000000}"/>
    <hyperlink ref="G157" r:id="rId193" xr:uid="{00000000-0004-0000-0200-0000C0000000}"/>
    <hyperlink ref="S157" r:id="rId194" xr:uid="{00000000-0004-0000-0200-0000C1000000}"/>
    <hyperlink ref="F158" r:id="rId195" xr:uid="{00000000-0004-0000-0200-0000C2000000}"/>
    <hyperlink ref="S158" r:id="rId196" xr:uid="{00000000-0004-0000-0200-0000C3000000}"/>
    <hyperlink ref="F159" r:id="rId197" location=".XAq95uYd67w.twitter" xr:uid="{00000000-0004-0000-0200-0000C4000000}"/>
    <hyperlink ref="F161" r:id="rId198" xr:uid="{00000000-0004-0000-0200-0000C5000000}"/>
    <hyperlink ref="S161" r:id="rId199" xr:uid="{00000000-0004-0000-0200-0000C6000000}"/>
    <hyperlink ref="G162" r:id="rId200" xr:uid="{00000000-0004-0000-0200-0000C7000000}"/>
    <hyperlink ref="S162" r:id="rId201" xr:uid="{00000000-0004-0000-0200-0000C8000000}"/>
    <hyperlink ref="G163" r:id="rId202" xr:uid="{00000000-0004-0000-0200-0000C9000000}"/>
    <hyperlink ref="S163" r:id="rId203" xr:uid="{00000000-0004-0000-0200-0000CA000000}"/>
    <hyperlink ref="F164" r:id="rId204" xr:uid="{00000000-0004-0000-0200-0000CB000000}"/>
    <hyperlink ref="F165" r:id="rId205" xr:uid="{00000000-0004-0000-0200-0000CC000000}"/>
    <hyperlink ref="F166" r:id="rId206" xr:uid="{00000000-0004-0000-0200-0000CD000000}"/>
    <hyperlink ref="S166" r:id="rId207" xr:uid="{00000000-0004-0000-0200-0000CE000000}"/>
    <hyperlink ref="F167" r:id="rId208" xr:uid="{00000000-0004-0000-0200-0000CF000000}"/>
    <hyperlink ref="F169" r:id="rId209" xr:uid="{00000000-0004-0000-0200-0000D0000000}"/>
    <hyperlink ref="G169" r:id="rId210" xr:uid="{00000000-0004-0000-0200-0000D1000000}"/>
    <hyperlink ref="S169" r:id="rId211" xr:uid="{00000000-0004-0000-0200-0000D2000000}"/>
    <hyperlink ref="F170" r:id="rId212" xr:uid="{00000000-0004-0000-0200-0000D3000000}"/>
    <hyperlink ref="S170" r:id="rId213" xr:uid="{00000000-0004-0000-0200-0000D4000000}"/>
    <hyperlink ref="F171" r:id="rId214" xr:uid="{00000000-0004-0000-0200-0000D5000000}"/>
    <hyperlink ref="S171" r:id="rId215" xr:uid="{00000000-0004-0000-0200-0000D6000000}"/>
    <hyperlink ref="F173" r:id="rId216" xr:uid="{00000000-0004-0000-0200-0000D7000000}"/>
    <hyperlink ref="F174" r:id="rId217" xr:uid="{00000000-0004-0000-0200-0000D8000000}"/>
    <hyperlink ref="F176" r:id="rId218" xr:uid="{00000000-0004-0000-0200-0000D9000000}"/>
    <hyperlink ref="S176" r:id="rId219" xr:uid="{00000000-0004-0000-0200-0000DA000000}"/>
    <hyperlink ref="F177" r:id="rId220" xr:uid="{00000000-0004-0000-0200-0000DB000000}"/>
    <hyperlink ref="F178" r:id="rId221" xr:uid="{00000000-0004-0000-0200-0000DC000000}"/>
    <hyperlink ref="S178" r:id="rId222" xr:uid="{00000000-0004-0000-0200-0000DD000000}"/>
    <hyperlink ref="F179" r:id="rId223" xr:uid="{00000000-0004-0000-0200-0000DE000000}"/>
    <hyperlink ref="F181" r:id="rId224" xr:uid="{00000000-0004-0000-0200-0000DF000000}"/>
    <hyperlink ref="S181" r:id="rId225" xr:uid="{00000000-0004-0000-0200-0000E0000000}"/>
    <hyperlink ref="G182" r:id="rId226" xr:uid="{00000000-0004-0000-0200-0000E1000000}"/>
    <hyperlink ref="F183" r:id="rId227" xr:uid="{00000000-0004-0000-0200-0000E2000000}"/>
    <hyperlink ref="F185" r:id="rId228" xr:uid="{00000000-0004-0000-0200-0000E3000000}"/>
    <hyperlink ref="S186" r:id="rId229" xr:uid="{00000000-0004-0000-0200-0000E4000000}"/>
    <hyperlink ref="F188" r:id="rId230" xr:uid="{00000000-0004-0000-0200-0000E5000000}"/>
    <hyperlink ref="F189" r:id="rId231" xr:uid="{00000000-0004-0000-0200-0000E6000000}"/>
    <hyperlink ref="F191" r:id="rId232" xr:uid="{00000000-0004-0000-0200-0000E7000000}"/>
    <hyperlink ref="S191" r:id="rId233" xr:uid="{00000000-0004-0000-0200-0000E8000000}"/>
    <hyperlink ref="S192" r:id="rId234" xr:uid="{00000000-0004-0000-0200-0000E9000000}"/>
    <hyperlink ref="F193" r:id="rId235" xr:uid="{00000000-0004-0000-0200-0000EA000000}"/>
    <hyperlink ref="S193" r:id="rId236" xr:uid="{00000000-0004-0000-0200-0000EB000000}"/>
    <hyperlink ref="S194" r:id="rId237" xr:uid="{00000000-0004-0000-0200-0000EC000000}"/>
    <hyperlink ref="F195" r:id="rId238" xr:uid="{00000000-0004-0000-0200-0000ED000000}"/>
    <hyperlink ref="F196" r:id="rId239" xr:uid="{00000000-0004-0000-0200-0000EE000000}"/>
    <hyperlink ref="F197" r:id="rId240" xr:uid="{00000000-0004-0000-0200-0000EF000000}"/>
    <hyperlink ref="G197" r:id="rId241" xr:uid="{00000000-0004-0000-0200-0000F0000000}"/>
    <hyperlink ref="S197" r:id="rId242" xr:uid="{00000000-0004-0000-0200-0000F1000000}"/>
    <hyperlink ref="F198" r:id="rId243" xr:uid="{00000000-0004-0000-0200-0000F2000000}"/>
    <hyperlink ref="S199" r:id="rId244" xr:uid="{00000000-0004-0000-0200-0000F3000000}"/>
    <hyperlink ref="F200" r:id="rId245" xr:uid="{00000000-0004-0000-0200-0000F4000000}"/>
    <hyperlink ref="F201" r:id="rId246" xr:uid="{00000000-0004-0000-0200-0000F5000000}"/>
    <hyperlink ref="S201" r:id="rId247" xr:uid="{00000000-0004-0000-0200-0000F6000000}"/>
    <hyperlink ref="F202" r:id="rId248" xr:uid="{00000000-0004-0000-0200-0000F7000000}"/>
    <hyperlink ref="F203" r:id="rId249" xr:uid="{00000000-0004-0000-0200-0000F8000000}"/>
    <hyperlink ref="G204" r:id="rId250" xr:uid="{00000000-0004-0000-0200-0000F9000000}"/>
    <hyperlink ref="F205" r:id="rId251" xr:uid="{00000000-0004-0000-0200-0000FA000000}"/>
    <hyperlink ref="G205" r:id="rId252" xr:uid="{00000000-0004-0000-0200-0000FB000000}"/>
    <hyperlink ref="F206" r:id="rId253" xr:uid="{00000000-0004-0000-0200-0000FC000000}"/>
    <hyperlink ref="S206" r:id="rId254" xr:uid="{00000000-0004-0000-0200-0000FD000000}"/>
    <hyperlink ref="F208" r:id="rId255" xr:uid="{00000000-0004-0000-0200-0000FE000000}"/>
    <hyperlink ref="S208" r:id="rId256" xr:uid="{00000000-0004-0000-0200-0000FF000000}"/>
    <hyperlink ref="S209" r:id="rId257" xr:uid="{00000000-0004-0000-0200-000000010000}"/>
    <hyperlink ref="G210" r:id="rId258" xr:uid="{00000000-0004-0000-0200-000001010000}"/>
    <hyperlink ref="F211" r:id="rId259" xr:uid="{00000000-0004-0000-0200-000002010000}"/>
    <hyperlink ref="G211" r:id="rId260" xr:uid="{00000000-0004-0000-0200-000003010000}"/>
    <hyperlink ref="S211" r:id="rId261" xr:uid="{00000000-0004-0000-0200-000004010000}"/>
    <hyperlink ref="F212" r:id="rId262" xr:uid="{00000000-0004-0000-0200-000005010000}"/>
    <hyperlink ref="F213" r:id="rId263" xr:uid="{00000000-0004-0000-0200-000006010000}"/>
    <hyperlink ref="F215" r:id="rId264" xr:uid="{00000000-0004-0000-0200-000007010000}"/>
    <hyperlink ref="F216" r:id="rId265" xr:uid="{00000000-0004-0000-0200-000008010000}"/>
    <hyperlink ref="F219" r:id="rId266" xr:uid="{00000000-0004-0000-0200-000009010000}"/>
    <hyperlink ref="G220" r:id="rId267" xr:uid="{00000000-0004-0000-0200-00000A010000}"/>
    <hyperlink ref="F221" r:id="rId268" xr:uid="{00000000-0004-0000-0200-00000B010000}"/>
    <hyperlink ref="G222" r:id="rId269" xr:uid="{00000000-0004-0000-0200-00000C010000}"/>
    <hyperlink ref="F223" r:id="rId270" xr:uid="{00000000-0004-0000-0200-00000D010000}"/>
    <hyperlink ref="S223" r:id="rId271" xr:uid="{00000000-0004-0000-0200-00000E010000}"/>
    <hyperlink ref="F224" r:id="rId272" xr:uid="{00000000-0004-0000-0200-00000F010000}"/>
    <hyperlink ref="S224" r:id="rId273" xr:uid="{00000000-0004-0000-0200-000010010000}"/>
    <hyperlink ref="F225" r:id="rId274" xr:uid="{00000000-0004-0000-0200-000011010000}"/>
    <hyperlink ref="S226" r:id="rId275" xr:uid="{00000000-0004-0000-0200-000012010000}"/>
    <hyperlink ref="G227" r:id="rId276" xr:uid="{00000000-0004-0000-0200-000013010000}"/>
    <hyperlink ref="S227" r:id="rId277" xr:uid="{00000000-0004-0000-0200-000014010000}"/>
    <hyperlink ref="S229" r:id="rId278" xr:uid="{00000000-0004-0000-0200-000015010000}"/>
    <hyperlink ref="C230" r:id="rId279" xr:uid="{00000000-0004-0000-0200-000016010000}"/>
    <hyperlink ref="F230" r:id="rId280" xr:uid="{00000000-0004-0000-0200-000017010000}"/>
    <hyperlink ref="G230" r:id="rId281" xr:uid="{00000000-0004-0000-0200-000018010000}"/>
    <hyperlink ref="S230" r:id="rId282" xr:uid="{00000000-0004-0000-0200-000019010000}"/>
    <hyperlink ref="F232" r:id="rId283" xr:uid="{00000000-0004-0000-0200-00001A010000}"/>
    <hyperlink ref="F233" r:id="rId284" xr:uid="{00000000-0004-0000-0200-00001B010000}"/>
    <hyperlink ref="F235" r:id="rId285" xr:uid="{00000000-0004-0000-0200-00001C010000}"/>
    <hyperlink ref="G235" r:id="rId286" xr:uid="{00000000-0004-0000-0200-00001D010000}"/>
    <hyperlink ref="S235" r:id="rId287" xr:uid="{00000000-0004-0000-0200-00001E010000}"/>
    <hyperlink ref="S236" r:id="rId288" xr:uid="{00000000-0004-0000-0200-00001F010000}"/>
    <hyperlink ref="F237" r:id="rId289" xr:uid="{00000000-0004-0000-0200-000020010000}"/>
    <hyperlink ref="G239" r:id="rId290" xr:uid="{00000000-0004-0000-0200-000021010000}"/>
    <hyperlink ref="S239" r:id="rId291" xr:uid="{00000000-0004-0000-0200-000022010000}"/>
    <hyperlink ref="F241" r:id="rId292" xr:uid="{00000000-0004-0000-0200-000023010000}"/>
    <hyperlink ref="G242" r:id="rId293" xr:uid="{00000000-0004-0000-0200-000024010000}"/>
    <hyperlink ref="S244" r:id="rId294" xr:uid="{00000000-0004-0000-0200-000025010000}"/>
    <hyperlink ref="S245" r:id="rId295" xr:uid="{00000000-0004-0000-0200-000026010000}"/>
    <hyperlink ref="F246" r:id="rId296" xr:uid="{00000000-0004-0000-0200-000027010000}"/>
    <hyperlink ref="F247" r:id="rId297" xr:uid="{00000000-0004-0000-0200-000028010000}"/>
    <hyperlink ref="C248" r:id="rId298" xr:uid="{00000000-0004-0000-0200-000029010000}"/>
    <hyperlink ref="F248" r:id="rId299" xr:uid="{00000000-0004-0000-0200-00002A010000}"/>
    <hyperlink ref="S248" r:id="rId300" xr:uid="{00000000-0004-0000-0200-00002B010000}"/>
    <hyperlink ref="G250" r:id="rId301" xr:uid="{00000000-0004-0000-0200-00002C010000}"/>
    <hyperlink ref="S250" r:id="rId302" xr:uid="{00000000-0004-0000-0200-00002D010000}"/>
    <hyperlink ref="F251" r:id="rId303" xr:uid="{00000000-0004-0000-0200-00002E010000}"/>
    <hyperlink ref="F252" r:id="rId304" xr:uid="{00000000-0004-0000-0200-00002F010000}"/>
    <hyperlink ref="G252" r:id="rId305" xr:uid="{00000000-0004-0000-0200-000030010000}"/>
    <hyperlink ref="S252" r:id="rId306" xr:uid="{00000000-0004-0000-0200-000031010000}"/>
    <hyperlink ref="F257" r:id="rId307" xr:uid="{00000000-0004-0000-0200-000032010000}"/>
    <hyperlink ref="F259" r:id="rId308" xr:uid="{00000000-0004-0000-0200-000033010000}"/>
    <hyperlink ref="C260" r:id="rId309" xr:uid="{00000000-0004-0000-0200-000034010000}"/>
    <hyperlink ref="F260" r:id="rId310" xr:uid="{00000000-0004-0000-0200-000035010000}"/>
    <hyperlink ref="G260" r:id="rId311" xr:uid="{00000000-0004-0000-0200-000036010000}"/>
    <hyperlink ref="S260" r:id="rId312" xr:uid="{00000000-0004-0000-0200-000037010000}"/>
    <hyperlink ref="G261" r:id="rId313" xr:uid="{00000000-0004-0000-0200-000038010000}"/>
    <hyperlink ref="F262" r:id="rId314" xr:uid="{00000000-0004-0000-0200-000039010000}"/>
    <hyperlink ref="F263" r:id="rId315" xr:uid="{00000000-0004-0000-0200-00003A010000}"/>
    <hyperlink ref="S263" r:id="rId316" xr:uid="{00000000-0004-0000-0200-00003B010000}"/>
    <hyperlink ref="F264" r:id="rId317" xr:uid="{00000000-0004-0000-0200-00003C010000}"/>
    <hyperlink ref="S267" r:id="rId318" xr:uid="{00000000-0004-0000-0200-00003D010000}"/>
    <hyperlink ref="F268" r:id="rId319" xr:uid="{00000000-0004-0000-0200-00003E010000}"/>
    <hyperlink ref="G268" r:id="rId320" xr:uid="{00000000-0004-0000-0200-00003F010000}"/>
    <hyperlink ref="S268" r:id="rId321" xr:uid="{00000000-0004-0000-0200-000040010000}"/>
    <hyperlink ref="F269" r:id="rId322" xr:uid="{00000000-0004-0000-0200-000041010000}"/>
    <hyperlink ref="F270" r:id="rId323" xr:uid="{00000000-0004-0000-0200-000042010000}"/>
    <hyperlink ref="F272" r:id="rId324" xr:uid="{00000000-0004-0000-0200-000043010000}"/>
    <hyperlink ref="S272" r:id="rId325" xr:uid="{00000000-0004-0000-0200-000044010000}"/>
    <hyperlink ref="F273" r:id="rId326" xr:uid="{00000000-0004-0000-0200-000045010000}"/>
    <hyperlink ref="G273" r:id="rId327" xr:uid="{00000000-0004-0000-0200-000046010000}"/>
    <hyperlink ref="S273" r:id="rId328" xr:uid="{00000000-0004-0000-0200-000047010000}"/>
    <hyperlink ref="F274" r:id="rId329" xr:uid="{00000000-0004-0000-0200-000048010000}"/>
    <hyperlink ref="S274" r:id="rId330" xr:uid="{00000000-0004-0000-0200-000049010000}"/>
    <hyperlink ref="F275" r:id="rId331" xr:uid="{00000000-0004-0000-0200-00004A010000}"/>
    <hyperlink ref="S275" r:id="rId332" xr:uid="{00000000-0004-0000-0200-00004B010000}"/>
    <hyperlink ref="F276" r:id="rId333" xr:uid="{00000000-0004-0000-0200-00004C010000}"/>
    <hyperlink ref="S276" r:id="rId334" xr:uid="{00000000-0004-0000-0200-00004D010000}"/>
    <hyperlink ref="F277" r:id="rId335" xr:uid="{00000000-0004-0000-0200-00004E010000}"/>
    <hyperlink ref="S277" r:id="rId336" xr:uid="{00000000-0004-0000-0200-00004F010000}"/>
    <hyperlink ref="F279" r:id="rId337" xr:uid="{00000000-0004-0000-0200-000050010000}"/>
    <hyperlink ref="F281" r:id="rId338" xr:uid="{00000000-0004-0000-0200-000051010000}"/>
    <hyperlink ref="S281" r:id="rId339" xr:uid="{00000000-0004-0000-0200-000052010000}"/>
    <hyperlink ref="F282" r:id="rId340" xr:uid="{00000000-0004-0000-0200-000053010000}"/>
    <hyperlink ref="F283" r:id="rId341" xr:uid="{00000000-0004-0000-0200-000054010000}"/>
    <hyperlink ref="S283" r:id="rId342" xr:uid="{00000000-0004-0000-0200-000055010000}"/>
    <hyperlink ref="S284" r:id="rId343" xr:uid="{00000000-0004-0000-0200-000056010000}"/>
    <hyperlink ref="F285" r:id="rId344" xr:uid="{00000000-0004-0000-0200-000057010000}"/>
    <hyperlink ref="S285" r:id="rId345" xr:uid="{00000000-0004-0000-0200-000058010000}"/>
    <hyperlink ref="G286" r:id="rId346" xr:uid="{00000000-0004-0000-0200-000059010000}"/>
    <hyperlink ref="S287" r:id="rId347" xr:uid="{00000000-0004-0000-0200-00005A010000}"/>
    <hyperlink ref="F289" r:id="rId348" xr:uid="{00000000-0004-0000-0200-00005B010000}"/>
    <hyperlink ref="S289" r:id="rId349" xr:uid="{00000000-0004-0000-0200-00005C010000}"/>
    <hyperlink ref="F290" r:id="rId350" xr:uid="{00000000-0004-0000-0200-00005D010000}"/>
    <hyperlink ref="F291" r:id="rId351" xr:uid="{00000000-0004-0000-0200-00005E010000}"/>
    <hyperlink ref="S291" r:id="rId352" xr:uid="{00000000-0004-0000-0200-00005F010000}"/>
    <hyperlink ref="F292" r:id="rId353" xr:uid="{00000000-0004-0000-0200-000060010000}"/>
    <hyperlink ref="F295" r:id="rId354" xr:uid="{00000000-0004-0000-0200-000061010000}"/>
    <hyperlink ref="S295" r:id="rId355" xr:uid="{00000000-0004-0000-0200-000062010000}"/>
    <hyperlink ref="F296" r:id="rId356" xr:uid="{00000000-0004-0000-0200-000063010000}"/>
    <hyperlink ref="F297" r:id="rId357" xr:uid="{00000000-0004-0000-0200-000064010000}"/>
    <hyperlink ref="F298" r:id="rId358" xr:uid="{00000000-0004-0000-0200-000065010000}"/>
    <hyperlink ref="S298" r:id="rId359" xr:uid="{00000000-0004-0000-0200-000066010000}"/>
    <hyperlink ref="F299" r:id="rId360" xr:uid="{00000000-0004-0000-0200-000067010000}"/>
    <hyperlink ref="S299" r:id="rId361" xr:uid="{00000000-0004-0000-0200-000068010000}"/>
    <hyperlink ref="F300" r:id="rId362" xr:uid="{00000000-0004-0000-0200-000069010000}"/>
    <hyperlink ref="F302" r:id="rId363" xr:uid="{00000000-0004-0000-0200-00006A010000}"/>
    <hyperlink ref="F303" r:id="rId364" xr:uid="{00000000-0004-0000-0200-00006B010000}"/>
    <hyperlink ref="S303" r:id="rId365" xr:uid="{00000000-0004-0000-0200-00006C010000}"/>
    <hyperlink ref="F305" r:id="rId366" xr:uid="{00000000-0004-0000-0200-00006D010000}"/>
    <hyperlink ref="G305" r:id="rId367" xr:uid="{00000000-0004-0000-0200-00006E010000}"/>
    <hyperlink ref="F307" r:id="rId368" xr:uid="{00000000-0004-0000-0200-00006F010000}"/>
    <hyperlink ref="G307" r:id="rId369" xr:uid="{00000000-0004-0000-0200-000070010000}"/>
    <hyperlink ref="S307" r:id="rId370" xr:uid="{00000000-0004-0000-0200-000071010000}"/>
    <hyperlink ref="F309" r:id="rId371" xr:uid="{00000000-0004-0000-0200-000072010000}"/>
    <hyperlink ref="S309" r:id="rId372" xr:uid="{00000000-0004-0000-0200-000073010000}"/>
    <hyperlink ref="F310" r:id="rId373" xr:uid="{00000000-0004-0000-0200-000074010000}"/>
    <hyperlink ref="S312" r:id="rId374" xr:uid="{00000000-0004-0000-0200-000075010000}"/>
    <hyperlink ref="F313" r:id="rId375" xr:uid="{00000000-0004-0000-0200-000076010000}"/>
    <hyperlink ref="F316" r:id="rId376" xr:uid="{00000000-0004-0000-0200-000077010000}"/>
    <hyperlink ref="G317" r:id="rId377" xr:uid="{00000000-0004-0000-0200-000078010000}"/>
    <hyperlink ref="S318" r:id="rId378" xr:uid="{00000000-0004-0000-0200-000079010000}"/>
    <hyperlink ref="F319" r:id="rId379" xr:uid="{00000000-0004-0000-0200-00007A010000}"/>
    <hyperlink ref="F320" r:id="rId380" xr:uid="{00000000-0004-0000-0200-00007B010000}"/>
    <hyperlink ref="S320" r:id="rId381" xr:uid="{00000000-0004-0000-0200-00007C010000}"/>
    <hyperlink ref="F321" r:id="rId382" xr:uid="{00000000-0004-0000-0200-00007D010000}"/>
    <hyperlink ref="F322" r:id="rId383" xr:uid="{00000000-0004-0000-0200-00007E010000}"/>
    <hyperlink ref="F323" r:id="rId384" xr:uid="{00000000-0004-0000-0200-00007F010000}"/>
    <hyperlink ref="F324" r:id="rId385" xr:uid="{00000000-0004-0000-0200-000080010000}"/>
    <hyperlink ref="F325" r:id="rId386" xr:uid="{00000000-0004-0000-0200-000081010000}"/>
    <hyperlink ref="F326" r:id="rId387" xr:uid="{00000000-0004-0000-0200-000082010000}"/>
    <hyperlink ref="G327" r:id="rId388" xr:uid="{00000000-0004-0000-0200-000083010000}"/>
    <hyperlink ref="F328" r:id="rId389" xr:uid="{00000000-0004-0000-0200-000084010000}"/>
    <hyperlink ref="F329" r:id="rId390" xr:uid="{00000000-0004-0000-0200-000085010000}"/>
    <hyperlink ref="G329" r:id="rId391" xr:uid="{00000000-0004-0000-0200-000086010000}"/>
    <hyperlink ref="S330" r:id="rId392" xr:uid="{00000000-0004-0000-0200-000087010000}"/>
    <hyperlink ref="F331" r:id="rId393" xr:uid="{00000000-0004-0000-0200-000088010000}"/>
    <hyperlink ref="F332" r:id="rId394" xr:uid="{00000000-0004-0000-0200-000089010000}"/>
    <hyperlink ref="F333" r:id="rId395" xr:uid="{00000000-0004-0000-0200-00008A010000}"/>
    <hyperlink ref="G333" r:id="rId396" xr:uid="{00000000-0004-0000-0200-00008B010000}"/>
    <hyperlink ref="S333" r:id="rId397" xr:uid="{00000000-0004-0000-0200-00008C010000}"/>
    <hyperlink ref="F334" r:id="rId398" xr:uid="{00000000-0004-0000-0200-00008D010000}"/>
    <hyperlink ref="F336" r:id="rId399" xr:uid="{00000000-0004-0000-0200-00008E010000}"/>
    <hyperlink ref="F337" r:id="rId400" xr:uid="{00000000-0004-0000-0200-00008F010000}"/>
    <hyperlink ref="F338" r:id="rId401" xr:uid="{00000000-0004-0000-0200-000090010000}"/>
    <hyperlink ref="F339" r:id="rId402" xr:uid="{00000000-0004-0000-0200-000091010000}"/>
    <hyperlink ref="F342" r:id="rId403" xr:uid="{00000000-0004-0000-0200-000092010000}"/>
    <hyperlink ref="S342" r:id="rId404" xr:uid="{00000000-0004-0000-0200-000093010000}"/>
    <hyperlink ref="F343" r:id="rId405" xr:uid="{00000000-0004-0000-0200-000094010000}"/>
    <hyperlink ref="F344" r:id="rId406" xr:uid="{00000000-0004-0000-0200-000095010000}"/>
    <hyperlink ref="F345" r:id="rId407" xr:uid="{00000000-0004-0000-0200-000096010000}"/>
    <hyperlink ref="F346" r:id="rId408" xr:uid="{00000000-0004-0000-0200-000097010000}"/>
    <hyperlink ref="F347" r:id="rId409" xr:uid="{00000000-0004-0000-0200-000098010000}"/>
    <hyperlink ref="G347" r:id="rId410" xr:uid="{00000000-0004-0000-0200-000099010000}"/>
    <hyperlink ref="S347" r:id="rId411" xr:uid="{00000000-0004-0000-0200-00009A010000}"/>
    <hyperlink ref="C349" r:id="rId412" xr:uid="{00000000-0004-0000-0200-00009B010000}"/>
    <hyperlink ref="F349" r:id="rId413" xr:uid="{00000000-0004-0000-0200-00009C010000}"/>
    <hyperlink ref="G349" r:id="rId414" xr:uid="{00000000-0004-0000-0200-00009D010000}"/>
    <hyperlink ref="S349" r:id="rId415" xr:uid="{00000000-0004-0000-0200-00009E010000}"/>
    <hyperlink ref="F350" r:id="rId416" xr:uid="{00000000-0004-0000-0200-00009F010000}"/>
    <hyperlink ref="S350" r:id="rId417" xr:uid="{00000000-0004-0000-0200-0000A0010000}"/>
    <hyperlink ref="F351" r:id="rId418" xr:uid="{00000000-0004-0000-0200-0000A1010000}"/>
    <hyperlink ref="G351" r:id="rId419" xr:uid="{00000000-0004-0000-0200-0000A2010000}"/>
    <hyperlink ref="S351" r:id="rId420" xr:uid="{00000000-0004-0000-0200-0000A3010000}"/>
    <hyperlink ref="F352" r:id="rId421" xr:uid="{00000000-0004-0000-0200-0000A4010000}"/>
    <hyperlink ref="G352" r:id="rId422" xr:uid="{00000000-0004-0000-0200-0000A5010000}"/>
    <hyperlink ref="S352" r:id="rId423" xr:uid="{00000000-0004-0000-0200-0000A6010000}"/>
    <hyperlink ref="F353" r:id="rId424" xr:uid="{00000000-0004-0000-0200-0000A7010000}"/>
    <hyperlink ref="F354" r:id="rId425" xr:uid="{00000000-0004-0000-0200-0000A8010000}"/>
    <hyperlink ref="S354" r:id="rId426" xr:uid="{00000000-0004-0000-0200-0000A9010000}"/>
    <hyperlink ref="F356" r:id="rId427" xr:uid="{00000000-0004-0000-0200-0000AA010000}"/>
    <hyperlink ref="F357" r:id="rId428" xr:uid="{00000000-0004-0000-0200-0000AB010000}"/>
    <hyperlink ref="F358" r:id="rId429" xr:uid="{00000000-0004-0000-0200-0000AC010000}"/>
    <hyperlink ref="F359" r:id="rId430" xr:uid="{00000000-0004-0000-0200-0000AD010000}"/>
    <hyperlink ref="F360" r:id="rId431" xr:uid="{00000000-0004-0000-0200-0000AE010000}"/>
    <hyperlink ref="S360" r:id="rId432" xr:uid="{00000000-0004-0000-0200-0000AF010000}"/>
    <hyperlink ref="F361" r:id="rId433" xr:uid="{00000000-0004-0000-0200-0000B0010000}"/>
    <hyperlink ref="G361" r:id="rId434" xr:uid="{00000000-0004-0000-0200-0000B1010000}"/>
    <hyperlink ref="S361" r:id="rId435" xr:uid="{00000000-0004-0000-0200-0000B2010000}"/>
    <hyperlink ref="F362" r:id="rId436" xr:uid="{00000000-0004-0000-0200-0000B3010000}"/>
    <hyperlink ref="F363" r:id="rId437" xr:uid="{00000000-0004-0000-0200-0000B4010000}"/>
    <hyperlink ref="F364" r:id="rId438" xr:uid="{00000000-0004-0000-0200-0000B5010000}"/>
    <hyperlink ref="S364" r:id="rId439" xr:uid="{00000000-0004-0000-0200-0000B6010000}"/>
    <hyperlink ref="F365" r:id="rId440" location=".XAmcDuT-I2g.twitter" xr:uid="{00000000-0004-0000-0200-0000B7010000}"/>
    <hyperlink ref="S365" r:id="rId441" xr:uid="{00000000-0004-0000-0200-0000B8010000}"/>
    <hyperlink ref="F366" r:id="rId442" xr:uid="{00000000-0004-0000-0200-0000B9010000}"/>
    <hyperlink ref="F367" r:id="rId443" xr:uid="{00000000-0004-0000-0200-0000BA010000}"/>
    <hyperlink ref="S368" r:id="rId444" xr:uid="{00000000-0004-0000-0200-0000BB010000}"/>
    <hyperlink ref="F370" r:id="rId445" xr:uid="{00000000-0004-0000-0200-0000BC010000}"/>
    <hyperlink ref="G370" r:id="rId446" xr:uid="{00000000-0004-0000-0200-0000BD010000}"/>
    <hyperlink ref="F371" r:id="rId447" xr:uid="{00000000-0004-0000-0200-0000BE010000}"/>
    <hyperlink ref="F372" r:id="rId448" xr:uid="{00000000-0004-0000-0200-0000BF010000}"/>
    <hyperlink ref="S372" r:id="rId449" xr:uid="{00000000-0004-0000-0200-0000C0010000}"/>
    <hyperlink ref="F375" r:id="rId450" xr:uid="{00000000-0004-0000-0200-0000C1010000}"/>
    <hyperlink ref="F376" r:id="rId451" xr:uid="{00000000-0004-0000-0200-0000C2010000}"/>
    <hyperlink ref="F377" r:id="rId452" xr:uid="{00000000-0004-0000-0200-0000C3010000}"/>
    <hyperlink ref="S377" r:id="rId453" xr:uid="{00000000-0004-0000-0200-0000C4010000}"/>
    <hyperlink ref="F378" r:id="rId454" xr:uid="{00000000-0004-0000-0200-0000C5010000}"/>
    <hyperlink ref="S378" r:id="rId455" xr:uid="{00000000-0004-0000-0200-0000C6010000}"/>
    <hyperlink ref="F379" r:id="rId456" xr:uid="{00000000-0004-0000-0200-0000C7010000}"/>
    <hyperlink ref="F381" r:id="rId457" xr:uid="{00000000-0004-0000-0200-0000C8010000}"/>
    <hyperlink ref="S381" r:id="rId458" xr:uid="{00000000-0004-0000-0200-0000C9010000}"/>
    <hyperlink ref="F382" r:id="rId459" xr:uid="{00000000-0004-0000-0200-0000CA010000}"/>
    <hyperlink ref="F383" r:id="rId460" xr:uid="{00000000-0004-0000-0200-0000CB010000}"/>
    <hyperlink ref="G384" r:id="rId461" xr:uid="{00000000-0004-0000-0200-0000CC010000}"/>
    <hyperlink ref="S384" r:id="rId462" xr:uid="{00000000-0004-0000-0200-0000CD010000}"/>
    <hyperlink ref="F385" r:id="rId463" xr:uid="{00000000-0004-0000-0200-0000CE010000}"/>
    <hyperlink ref="F386" r:id="rId464" xr:uid="{00000000-0004-0000-0200-0000CF010000}"/>
    <hyperlink ref="G386" r:id="rId465" xr:uid="{00000000-0004-0000-0200-0000D0010000}"/>
    <hyperlink ref="F387" r:id="rId466" xr:uid="{00000000-0004-0000-0200-0000D1010000}"/>
    <hyperlink ref="G388" r:id="rId467" xr:uid="{00000000-0004-0000-0200-0000D2010000}"/>
    <hyperlink ref="F389" r:id="rId468" xr:uid="{00000000-0004-0000-0200-0000D3010000}"/>
    <hyperlink ref="F390" r:id="rId469" xr:uid="{00000000-0004-0000-0200-0000D4010000}"/>
    <hyperlink ref="S390" r:id="rId470" xr:uid="{00000000-0004-0000-0200-0000D5010000}"/>
    <hyperlink ref="F391" r:id="rId471" xr:uid="{00000000-0004-0000-0200-0000D6010000}"/>
    <hyperlink ref="F393" r:id="rId472" xr:uid="{00000000-0004-0000-0200-0000D7010000}"/>
    <hyperlink ref="F395" r:id="rId473" xr:uid="{00000000-0004-0000-0200-0000D8010000}"/>
    <hyperlink ref="F396" r:id="rId474" xr:uid="{00000000-0004-0000-0200-0000D9010000}"/>
    <hyperlink ref="F397" r:id="rId475" xr:uid="{00000000-0004-0000-0200-0000DA010000}"/>
    <hyperlink ref="S398" r:id="rId476" xr:uid="{00000000-0004-0000-0200-0000DB010000}"/>
    <hyperlink ref="G399" r:id="rId477" xr:uid="{00000000-0004-0000-0200-0000DC010000}"/>
    <hyperlink ref="S399" r:id="rId478" xr:uid="{00000000-0004-0000-0200-0000DD010000}"/>
    <hyperlink ref="G400" r:id="rId479" xr:uid="{00000000-0004-0000-0200-0000DE010000}"/>
    <hyperlink ref="F401" r:id="rId480" xr:uid="{00000000-0004-0000-0200-0000DF010000}"/>
    <hyperlink ref="S402" r:id="rId481" xr:uid="{00000000-0004-0000-0200-0000E0010000}"/>
    <hyperlink ref="F403" r:id="rId482" xr:uid="{00000000-0004-0000-0200-0000E1010000}"/>
    <hyperlink ref="S403" r:id="rId483" xr:uid="{00000000-0004-0000-0200-0000E2010000}"/>
    <hyperlink ref="F404" r:id="rId484" xr:uid="{00000000-0004-0000-0200-0000E3010000}"/>
    <hyperlink ref="S404" r:id="rId485" xr:uid="{00000000-0004-0000-0200-0000E4010000}"/>
    <hyperlink ref="F405" r:id="rId486" xr:uid="{00000000-0004-0000-0200-0000E5010000}"/>
    <hyperlink ref="S405" r:id="rId487" xr:uid="{00000000-0004-0000-0200-0000E6010000}"/>
    <hyperlink ref="S406" r:id="rId488" xr:uid="{00000000-0004-0000-0200-0000E7010000}"/>
    <hyperlink ref="F407" r:id="rId489" xr:uid="{00000000-0004-0000-0200-0000E8010000}"/>
    <hyperlink ref="F408" r:id="rId490" xr:uid="{00000000-0004-0000-0200-0000E9010000}"/>
    <hyperlink ref="F409" r:id="rId491" xr:uid="{00000000-0004-0000-0200-0000EA010000}"/>
    <hyperlink ref="F411" r:id="rId492" xr:uid="{00000000-0004-0000-0200-0000EB010000}"/>
    <hyperlink ref="F412" r:id="rId493" xr:uid="{00000000-0004-0000-0200-0000EC010000}"/>
    <hyperlink ref="S412" r:id="rId494" xr:uid="{00000000-0004-0000-0200-0000ED010000}"/>
    <hyperlink ref="F413" r:id="rId495" xr:uid="{00000000-0004-0000-0200-0000EE010000}"/>
    <hyperlink ref="F414" r:id="rId496" xr:uid="{00000000-0004-0000-0200-0000EF010000}"/>
    <hyperlink ref="S415" r:id="rId497" xr:uid="{00000000-0004-0000-0200-0000F0010000}"/>
    <hyperlink ref="F416" r:id="rId498" xr:uid="{00000000-0004-0000-0200-0000F1010000}"/>
    <hyperlink ref="F417" r:id="rId499" xr:uid="{00000000-0004-0000-0200-0000F2010000}"/>
    <hyperlink ref="S417" r:id="rId500" xr:uid="{00000000-0004-0000-0200-0000F3010000}"/>
    <hyperlink ref="F418" r:id="rId501" xr:uid="{00000000-0004-0000-0200-0000F4010000}"/>
    <hyperlink ref="F419" r:id="rId502" xr:uid="{00000000-0004-0000-0200-0000F5010000}"/>
    <hyperlink ref="F420" r:id="rId503" xr:uid="{00000000-0004-0000-0200-0000F6010000}"/>
    <hyperlink ref="F421" r:id="rId504" xr:uid="{00000000-0004-0000-0200-0000F7010000}"/>
    <hyperlink ref="S421" r:id="rId505" xr:uid="{00000000-0004-0000-0200-0000F8010000}"/>
    <hyperlink ref="F422" r:id="rId506" xr:uid="{00000000-0004-0000-0200-0000F9010000}"/>
    <hyperlink ref="S422" r:id="rId507" xr:uid="{00000000-0004-0000-0200-0000FA010000}"/>
    <hyperlink ref="F424" r:id="rId508" xr:uid="{00000000-0004-0000-0200-0000FB010000}"/>
    <hyperlink ref="G424" r:id="rId509" xr:uid="{00000000-0004-0000-0200-0000FC010000}"/>
    <hyperlink ref="S424" r:id="rId510" xr:uid="{00000000-0004-0000-0200-0000FD010000}"/>
    <hyperlink ref="F425" r:id="rId511" xr:uid="{00000000-0004-0000-0200-0000FE010000}"/>
    <hyperlink ref="G425" r:id="rId512" xr:uid="{00000000-0004-0000-0200-0000FF010000}"/>
    <hyperlink ref="S425" r:id="rId513" xr:uid="{00000000-0004-0000-0200-000000020000}"/>
    <hyperlink ref="F426" r:id="rId514" xr:uid="{00000000-0004-0000-0200-000001020000}"/>
    <hyperlink ref="F427" r:id="rId515" xr:uid="{00000000-0004-0000-0200-000002020000}"/>
    <hyperlink ref="F428" r:id="rId516" xr:uid="{00000000-0004-0000-0200-000003020000}"/>
    <hyperlink ref="F429" r:id="rId517" xr:uid="{00000000-0004-0000-0200-000004020000}"/>
    <hyperlink ref="F430" r:id="rId518" xr:uid="{00000000-0004-0000-0200-000005020000}"/>
    <hyperlink ref="F431" r:id="rId519" xr:uid="{00000000-0004-0000-0200-000006020000}"/>
    <hyperlink ref="F432" r:id="rId520" xr:uid="{00000000-0004-0000-0200-000007020000}"/>
    <hyperlink ref="S432" r:id="rId521" xr:uid="{00000000-0004-0000-0200-000008020000}"/>
    <hyperlink ref="F433" r:id="rId522" xr:uid="{00000000-0004-0000-0200-000009020000}"/>
    <hyperlink ref="F434" r:id="rId523" xr:uid="{00000000-0004-0000-0200-00000A020000}"/>
    <hyperlink ref="S434" r:id="rId524" xr:uid="{00000000-0004-0000-0200-00000B020000}"/>
    <hyperlink ref="F436" r:id="rId525" xr:uid="{00000000-0004-0000-0200-00000C020000}"/>
    <hyperlink ref="S436" r:id="rId526" xr:uid="{00000000-0004-0000-0200-00000D020000}"/>
    <hyperlink ref="F437" r:id="rId527" xr:uid="{00000000-0004-0000-0200-00000E020000}"/>
    <hyperlink ref="F438" r:id="rId528" xr:uid="{00000000-0004-0000-0200-00000F020000}"/>
    <hyperlink ref="F440" r:id="rId529" xr:uid="{00000000-0004-0000-0200-000010020000}"/>
    <hyperlink ref="F441" r:id="rId530" xr:uid="{00000000-0004-0000-0200-000011020000}"/>
    <hyperlink ref="S441" r:id="rId531" xr:uid="{00000000-0004-0000-0200-000012020000}"/>
    <hyperlink ref="F443" r:id="rId532" xr:uid="{00000000-0004-0000-0200-000013020000}"/>
    <hyperlink ref="G443" r:id="rId533" xr:uid="{00000000-0004-0000-0200-000014020000}"/>
    <hyperlink ref="S443" r:id="rId534" xr:uid="{00000000-0004-0000-0200-000015020000}"/>
    <hyperlink ref="F444" r:id="rId535" xr:uid="{00000000-0004-0000-0200-000016020000}"/>
    <hyperlink ref="S444" r:id="rId536" xr:uid="{00000000-0004-0000-0200-000017020000}"/>
    <hyperlink ref="F445" r:id="rId537" xr:uid="{00000000-0004-0000-0200-000018020000}"/>
    <hyperlink ref="S445" r:id="rId538" xr:uid="{00000000-0004-0000-0200-000019020000}"/>
    <hyperlink ref="F446" r:id="rId539" xr:uid="{00000000-0004-0000-0200-00001A020000}"/>
    <hyperlink ref="F447" r:id="rId540" xr:uid="{00000000-0004-0000-0200-00001B020000}"/>
    <hyperlink ref="F448" r:id="rId541" xr:uid="{00000000-0004-0000-0200-00001C020000}"/>
    <hyperlink ref="G449" r:id="rId542" xr:uid="{00000000-0004-0000-0200-00001D020000}"/>
    <hyperlink ref="F450" r:id="rId543" xr:uid="{00000000-0004-0000-0200-00001E020000}"/>
    <hyperlink ref="S450" r:id="rId544" xr:uid="{00000000-0004-0000-0200-00001F020000}"/>
    <hyperlink ref="F452" r:id="rId545" xr:uid="{00000000-0004-0000-0200-000020020000}"/>
    <hyperlink ref="F453" r:id="rId546" xr:uid="{00000000-0004-0000-0200-000021020000}"/>
    <hyperlink ref="G454" r:id="rId547" xr:uid="{00000000-0004-0000-0200-000022020000}"/>
    <hyperlink ref="F456" r:id="rId548" xr:uid="{00000000-0004-0000-0200-000023020000}"/>
    <hyperlink ref="S456" r:id="rId549" xr:uid="{00000000-0004-0000-0200-000024020000}"/>
    <hyperlink ref="F457" r:id="rId550" xr:uid="{00000000-0004-0000-0200-000025020000}"/>
    <hyperlink ref="G457" r:id="rId551" xr:uid="{00000000-0004-0000-0200-000026020000}"/>
    <hyperlink ref="F458" r:id="rId552" xr:uid="{00000000-0004-0000-0200-000027020000}"/>
    <hyperlink ref="S458" r:id="rId553" xr:uid="{00000000-0004-0000-0200-000028020000}"/>
    <hyperlink ref="F459" r:id="rId554" xr:uid="{00000000-0004-0000-0200-000029020000}"/>
    <hyperlink ref="S459" r:id="rId555" xr:uid="{00000000-0004-0000-0200-00002A020000}"/>
    <hyperlink ref="F460" r:id="rId556" xr:uid="{00000000-0004-0000-0200-00002B020000}"/>
    <hyperlink ref="S460" r:id="rId557" xr:uid="{00000000-0004-0000-0200-00002C020000}"/>
    <hyperlink ref="F461" r:id="rId558" xr:uid="{00000000-0004-0000-0200-00002D020000}"/>
    <hyperlink ref="F462" r:id="rId559" xr:uid="{00000000-0004-0000-0200-00002E020000}"/>
    <hyperlink ref="S462" r:id="rId560" xr:uid="{00000000-0004-0000-0200-00002F020000}"/>
    <hyperlink ref="F463" r:id="rId561" xr:uid="{00000000-0004-0000-0200-000030020000}"/>
    <hyperlink ref="G463" r:id="rId562" xr:uid="{00000000-0004-0000-0200-000031020000}"/>
    <hyperlink ref="S463" r:id="rId563" xr:uid="{00000000-0004-0000-0200-000032020000}"/>
    <hyperlink ref="S464" r:id="rId564" xr:uid="{00000000-0004-0000-0200-000033020000}"/>
    <hyperlink ref="S466" r:id="rId565" xr:uid="{00000000-0004-0000-0200-000034020000}"/>
    <hyperlink ref="F467" r:id="rId566" xr:uid="{00000000-0004-0000-0200-000035020000}"/>
    <hyperlink ref="S467" r:id="rId567" xr:uid="{00000000-0004-0000-0200-000036020000}"/>
    <hyperlink ref="F468" r:id="rId568" xr:uid="{00000000-0004-0000-0200-000037020000}"/>
    <hyperlink ref="S468" r:id="rId569" xr:uid="{00000000-0004-0000-0200-000038020000}"/>
    <hyperlink ref="F469" r:id="rId570" xr:uid="{00000000-0004-0000-0200-000039020000}"/>
    <hyperlink ref="S469" r:id="rId571" xr:uid="{00000000-0004-0000-0200-00003A020000}"/>
    <hyperlink ref="F470" r:id="rId572" xr:uid="{00000000-0004-0000-0200-00003B020000}"/>
    <hyperlink ref="S470" r:id="rId573" xr:uid="{00000000-0004-0000-0200-00003C020000}"/>
    <hyperlink ref="F471" r:id="rId574" xr:uid="{00000000-0004-0000-0200-00003D020000}"/>
    <hyperlink ref="G471" r:id="rId575" xr:uid="{00000000-0004-0000-0200-00003E020000}"/>
    <hyperlink ref="F472" r:id="rId576" xr:uid="{00000000-0004-0000-0200-00003F020000}"/>
    <hyperlink ref="S472" r:id="rId577" xr:uid="{00000000-0004-0000-0200-000040020000}"/>
    <hyperlink ref="C473" r:id="rId578" xr:uid="{00000000-0004-0000-0200-000041020000}"/>
    <hyperlink ref="F473" r:id="rId579" xr:uid="{00000000-0004-0000-0200-000042020000}"/>
    <hyperlink ref="S473" r:id="rId580" xr:uid="{00000000-0004-0000-0200-000043020000}"/>
    <hyperlink ref="F474" r:id="rId581" xr:uid="{00000000-0004-0000-0200-000044020000}"/>
    <hyperlink ref="F475" r:id="rId582" xr:uid="{00000000-0004-0000-0200-000045020000}"/>
    <hyperlink ref="S475" r:id="rId583" xr:uid="{00000000-0004-0000-0200-000046020000}"/>
    <hyperlink ref="F476" r:id="rId584" xr:uid="{00000000-0004-0000-0200-000047020000}"/>
    <hyperlink ref="G476" r:id="rId585" xr:uid="{00000000-0004-0000-0200-000048020000}"/>
    <hyperlink ref="S476" r:id="rId586" xr:uid="{00000000-0004-0000-0200-000049020000}"/>
    <hyperlink ref="F477" r:id="rId587" xr:uid="{00000000-0004-0000-0200-00004A020000}"/>
    <hyperlink ref="G477" r:id="rId588" xr:uid="{00000000-0004-0000-0200-00004B020000}"/>
    <hyperlink ref="C478" r:id="rId589" xr:uid="{00000000-0004-0000-0200-00004C020000}"/>
    <hyperlink ref="F478" r:id="rId590" xr:uid="{00000000-0004-0000-0200-00004D020000}"/>
    <hyperlink ref="S478" r:id="rId591" xr:uid="{00000000-0004-0000-0200-00004E020000}"/>
    <hyperlink ref="F479" r:id="rId592" xr:uid="{00000000-0004-0000-0200-00004F020000}"/>
    <hyperlink ref="F480" r:id="rId593" xr:uid="{00000000-0004-0000-0200-000050020000}"/>
    <hyperlink ref="F481" r:id="rId594" xr:uid="{00000000-0004-0000-0200-000051020000}"/>
    <hyperlink ref="F483" r:id="rId595" xr:uid="{00000000-0004-0000-0200-000052020000}"/>
    <hyperlink ref="S483" r:id="rId596" xr:uid="{00000000-0004-0000-0200-000053020000}"/>
    <hyperlink ref="F484" r:id="rId597" xr:uid="{00000000-0004-0000-0200-000054020000}"/>
    <hyperlink ref="G484" r:id="rId598" xr:uid="{00000000-0004-0000-0200-000055020000}"/>
    <hyperlink ref="S484" r:id="rId599" xr:uid="{00000000-0004-0000-0200-000056020000}"/>
    <hyperlink ref="F485" r:id="rId600" xr:uid="{00000000-0004-0000-0200-000057020000}"/>
    <hyperlink ref="F486" r:id="rId601" xr:uid="{00000000-0004-0000-0200-000058020000}"/>
    <hyperlink ref="F487" r:id="rId602" xr:uid="{00000000-0004-0000-0200-000059020000}"/>
    <hyperlink ref="G488" r:id="rId603" xr:uid="{00000000-0004-0000-0200-00005A020000}"/>
    <hyperlink ref="F489" r:id="rId604" xr:uid="{00000000-0004-0000-0200-00005B020000}"/>
    <hyperlink ref="G489" r:id="rId605" xr:uid="{00000000-0004-0000-0200-00005C020000}"/>
    <hyperlink ref="F490" r:id="rId606" xr:uid="{00000000-0004-0000-0200-00005D020000}"/>
    <hyperlink ref="S490" r:id="rId607" xr:uid="{00000000-0004-0000-0200-00005E020000}"/>
    <hyperlink ref="F491" r:id="rId608" xr:uid="{00000000-0004-0000-0200-00005F020000}"/>
    <hyperlink ref="F492" r:id="rId609" xr:uid="{00000000-0004-0000-0200-000060020000}"/>
    <hyperlink ref="F493" r:id="rId610" xr:uid="{00000000-0004-0000-0200-000061020000}"/>
    <hyperlink ref="S493" r:id="rId611" xr:uid="{00000000-0004-0000-0200-000062020000}"/>
    <hyperlink ref="F494" r:id="rId612" xr:uid="{00000000-0004-0000-0200-000063020000}"/>
    <hyperlink ref="S494" r:id="rId613" xr:uid="{00000000-0004-0000-0200-000064020000}"/>
    <hyperlink ref="F496" r:id="rId614" location=".XAlIvf6h13Q.twitter" xr:uid="{00000000-0004-0000-0200-000065020000}"/>
    <hyperlink ref="S496" r:id="rId615" xr:uid="{00000000-0004-0000-0200-000066020000}"/>
    <hyperlink ref="G497" r:id="rId616" xr:uid="{00000000-0004-0000-0200-000067020000}"/>
    <hyperlink ref="F498" r:id="rId617" xr:uid="{00000000-0004-0000-0200-000068020000}"/>
    <hyperlink ref="S498" r:id="rId618" xr:uid="{00000000-0004-0000-0200-000069020000}"/>
    <hyperlink ref="F499" r:id="rId619" xr:uid="{00000000-0004-0000-0200-00006A020000}"/>
    <hyperlink ref="S499" r:id="rId620" xr:uid="{00000000-0004-0000-0200-00006B020000}"/>
    <hyperlink ref="F500" r:id="rId621" xr:uid="{00000000-0004-0000-0200-00006C020000}"/>
    <hyperlink ref="S500" r:id="rId622" xr:uid="{00000000-0004-0000-0200-00006D020000}"/>
    <hyperlink ref="G501" r:id="rId623" xr:uid="{00000000-0004-0000-0200-00006E020000}"/>
    <hyperlink ref="F502" r:id="rId624" xr:uid="{00000000-0004-0000-0200-00006F020000}"/>
    <hyperlink ref="S502" r:id="rId625" xr:uid="{00000000-0004-0000-0200-000070020000}"/>
    <hyperlink ref="G503" r:id="rId626" xr:uid="{00000000-0004-0000-0200-000071020000}"/>
    <hyperlink ref="S503" r:id="rId627" xr:uid="{00000000-0004-0000-0200-000072020000}"/>
    <hyperlink ref="G504" r:id="rId628" xr:uid="{00000000-0004-0000-0200-000073020000}"/>
    <hyperlink ref="S504" r:id="rId629" xr:uid="{00000000-0004-0000-0200-000074020000}"/>
    <hyperlink ref="F505" r:id="rId630" xr:uid="{00000000-0004-0000-0200-000075020000}"/>
    <hyperlink ref="S505" r:id="rId631" xr:uid="{00000000-0004-0000-0200-000076020000}"/>
    <hyperlink ref="F506" r:id="rId632" xr:uid="{00000000-0004-0000-0200-000077020000}"/>
    <hyperlink ref="F507" r:id="rId633" xr:uid="{00000000-0004-0000-0200-000078020000}"/>
    <hyperlink ref="F508" r:id="rId634" xr:uid="{00000000-0004-0000-0200-000079020000}"/>
    <hyperlink ref="F509" r:id="rId635" xr:uid="{00000000-0004-0000-0200-00007A020000}"/>
    <hyperlink ref="S509" r:id="rId636" xr:uid="{00000000-0004-0000-0200-00007B020000}"/>
    <hyperlink ref="F510" r:id="rId637" xr:uid="{00000000-0004-0000-0200-00007C020000}"/>
    <hyperlink ref="S510" r:id="rId638" xr:uid="{00000000-0004-0000-0200-00007D020000}"/>
    <hyperlink ref="F511" r:id="rId639" xr:uid="{00000000-0004-0000-0200-00007E020000}"/>
    <hyperlink ref="G511" r:id="rId640" xr:uid="{00000000-0004-0000-0200-00007F020000}"/>
    <hyperlink ref="S511" r:id="rId641" xr:uid="{00000000-0004-0000-0200-000080020000}"/>
    <hyperlink ref="F512" r:id="rId642" xr:uid="{00000000-0004-0000-0200-000081020000}"/>
    <hyperlink ref="S513" r:id="rId643" xr:uid="{00000000-0004-0000-0200-000082020000}"/>
    <hyperlink ref="F514" r:id="rId644" xr:uid="{00000000-0004-0000-0200-000083020000}"/>
    <hyperlink ref="S514" r:id="rId645" xr:uid="{00000000-0004-0000-0200-000084020000}"/>
    <hyperlink ref="F515" r:id="rId646" xr:uid="{00000000-0004-0000-0200-000085020000}"/>
    <hyperlink ref="F516" r:id="rId647" xr:uid="{00000000-0004-0000-0200-000086020000}"/>
    <hyperlink ref="S516" r:id="rId648" xr:uid="{00000000-0004-0000-0200-000087020000}"/>
    <hyperlink ref="F517" r:id="rId649" xr:uid="{00000000-0004-0000-0200-000088020000}"/>
    <hyperlink ref="G517" r:id="rId650" xr:uid="{00000000-0004-0000-0200-000089020000}"/>
    <hyperlink ref="S517" r:id="rId651" xr:uid="{00000000-0004-0000-0200-00008A020000}"/>
    <hyperlink ref="F518" r:id="rId652" xr:uid="{00000000-0004-0000-0200-00008B020000}"/>
    <hyperlink ref="F519" r:id="rId653" xr:uid="{00000000-0004-0000-0200-00008C020000}"/>
    <hyperlink ref="F520" r:id="rId654" xr:uid="{00000000-0004-0000-0200-00008D020000}"/>
    <hyperlink ref="S520" r:id="rId655" xr:uid="{00000000-0004-0000-0200-00008E020000}"/>
    <hyperlink ref="F521" r:id="rId656" xr:uid="{00000000-0004-0000-0200-00008F020000}"/>
    <hyperlink ref="F523" r:id="rId657" xr:uid="{00000000-0004-0000-0200-000090020000}"/>
    <hyperlink ref="F524" r:id="rId658" xr:uid="{00000000-0004-0000-0200-000091020000}"/>
    <hyperlink ref="F525" r:id="rId659" xr:uid="{00000000-0004-0000-0200-000092020000}"/>
    <hyperlink ref="S525" r:id="rId660" xr:uid="{00000000-0004-0000-0200-000093020000}"/>
    <hyperlink ref="F526" r:id="rId661" xr:uid="{00000000-0004-0000-0200-000094020000}"/>
    <hyperlink ref="S526" r:id="rId662" xr:uid="{00000000-0004-0000-0200-000095020000}"/>
    <hyperlink ref="F527" r:id="rId663" xr:uid="{00000000-0004-0000-0200-000096020000}"/>
    <hyperlink ref="G527" r:id="rId664" xr:uid="{00000000-0004-0000-0200-000097020000}"/>
    <hyperlink ref="F528" r:id="rId665" xr:uid="{00000000-0004-0000-0200-000098020000}"/>
    <hyperlink ref="S528" r:id="rId666" xr:uid="{00000000-0004-0000-0200-000099020000}"/>
    <hyperlink ref="F529" r:id="rId667" xr:uid="{00000000-0004-0000-0200-00009A020000}"/>
    <hyperlink ref="S529" r:id="rId668" xr:uid="{00000000-0004-0000-0200-00009B020000}"/>
    <hyperlink ref="F530" r:id="rId669" xr:uid="{00000000-0004-0000-0200-00009C020000}"/>
    <hyperlink ref="S530" r:id="rId670" xr:uid="{00000000-0004-0000-0200-00009D020000}"/>
    <hyperlink ref="F531" r:id="rId671" xr:uid="{00000000-0004-0000-0200-00009E020000}"/>
    <hyperlink ref="S531" r:id="rId672" xr:uid="{00000000-0004-0000-0200-00009F020000}"/>
    <hyperlink ref="F532" r:id="rId673" xr:uid="{00000000-0004-0000-0200-0000A0020000}"/>
    <hyperlink ref="S532" r:id="rId674" xr:uid="{00000000-0004-0000-0200-0000A1020000}"/>
    <hyperlink ref="F533" r:id="rId675" xr:uid="{00000000-0004-0000-0200-0000A2020000}"/>
    <hyperlink ref="F535" r:id="rId676" xr:uid="{00000000-0004-0000-0200-0000A3020000}"/>
    <hyperlink ref="G535" r:id="rId677" xr:uid="{00000000-0004-0000-0200-0000A4020000}"/>
    <hyperlink ref="S535" r:id="rId678" xr:uid="{00000000-0004-0000-0200-0000A5020000}"/>
    <hyperlink ref="F536" r:id="rId679" xr:uid="{00000000-0004-0000-0200-0000A6020000}"/>
    <hyperlink ref="S536" r:id="rId680" xr:uid="{00000000-0004-0000-0200-0000A7020000}"/>
    <hyperlink ref="F537" r:id="rId681" xr:uid="{00000000-0004-0000-0200-0000A8020000}"/>
    <hyperlink ref="F538" r:id="rId682" xr:uid="{00000000-0004-0000-0200-0000A9020000}"/>
    <hyperlink ref="F539" r:id="rId683" xr:uid="{00000000-0004-0000-0200-0000AA020000}"/>
    <hyperlink ref="F540" r:id="rId684" xr:uid="{00000000-0004-0000-0200-0000AB020000}"/>
    <hyperlink ref="G540" r:id="rId685" xr:uid="{00000000-0004-0000-0200-0000AC020000}"/>
    <hyperlink ref="S540" r:id="rId686" xr:uid="{00000000-0004-0000-0200-0000AD020000}"/>
    <hyperlink ref="F541" r:id="rId687" xr:uid="{00000000-0004-0000-0200-0000AE020000}"/>
    <hyperlink ref="S541" r:id="rId688" xr:uid="{00000000-0004-0000-0200-0000AF020000}"/>
    <hyperlink ref="F542" r:id="rId689" xr:uid="{00000000-0004-0000-0200-0000B0020000}"/>
    <hyperlink ref="S542" r:id="rId690" xr:uid="{00000000-0004-0000-0200-0000B1020000}"/>
    <hyperlink ref="C543" r:id="rId691" xr:uid="{00000000-0004-0000-0200-0000B2020000}"/>
    <hyperlink ref="F543" r:id="rId692" xr:uid="{00000000-0004-0000-0200-0000B3020000}"/>
    <hyperlink ref="S543" r:id="rId693" xr:uid="{00000000-0004-0000-0200-0000B4020000}"/>
    <hyperlink ref="F545" r:id="rId694" xr:uid="{00000000-0004-0000-0200-0000B5020000}"/>
    <hyperlink ref="S545" r:id="rId695" xr:uid="{00000000-0004-0000-0200-0000B6020000}"/>
    <hyperlink ref="F546" r:id="rId696" xr:uid="{00000000-0004-0000-0200-0000B7020000}"/>
    <hyperlink ref="G546" r:id="rId697" xr:uid="{00000000-0004-0000-0200-0000B8020000}"/>
    <hyperlink ref="F547" r:id="rId698" xr:uid="{00000000-0004-0000-0200-0000B9020000}"/>
    <hyperlink ref="F548" r:id="rId699" xr:uid="{00000000-0004-0000-0200-0000BA020000}"/>
    <hyperlink ref="S548" r:id="rId700" xr:uid="{00000000-0004-0000-0200-0000BB020000}"/>
    <hyperlink ref="S549" r:id="rId701" xr:uid="{00000000-0004-0000-0200-0000BC020000}"/>
    <hyperlink ref="F550" r:id="rId702" xr:uid="{00000000-0004-0000-0200-0000BD020000}"/>
    <hyperlink ref="S550" r:id="rId703" xr:uid="{00000000-0004-0000-0200-0000BE020000}"/>
    <hyperlink ref="F551" r:id="rId704" xr:uid="{00000000-0004-0000-0200-0000BF020000}"/>
    <hyperlink ref="G551" r:id="rId705" xr:uid="{00000000-0004-0000-0200-0000C0020000}"/>
    <hyperlink ref="S551" r:id="rId706" xr:uid="{00000000-0004-0000-0200-0000C1020000}"/>
    <hyperlink ref="F552" r:id="rId707" xr:uid="{00000000-0004-0000-0200-0000C2020000}"/>
    <hyperlink ref="F553" r:id="rId708" xr:uid="{00000000-0004-0000-0200-0000C3020000}"/>
    <hyperlink ref="G553" r:id="rId709" xr:uid="{00000000-0004-0000-0200-0000C4020000}"/>
    <hyperlink ref="S553" r:id="rId710" xr:uid="{00000000-0004-0000-0200-0000C5020000}"/>
    <hyperlink ref="F554" r:id="rId711" xr:uid="{00000000-0004-0000-0200-0000C6020000}"/>
    <hyperlink ref="F555" r:id="rId712" xr:uid="{00000000-0004-0000-0200-0000C7020000}"/>
    <hyperlink ref="S555" r:id="rId713" xr:uid="{00000000-0004-0000-0200-0000C8020000}"/>
    <hyperlink ref="F557" r:id="rId714" xr:uid="{00000000-0004-0000-0200-0000C9020000}"/>
    <hyperlink ref="G557" r:id="rId715" xr:uid="{00000000-0004-0000-0200-0000CA020000}"/>
    <hyperlink ref="S557" r:id="rId716" xr:uid="{00000000-0004-0000-0200-0000CB020000}"/>
    <hyperlink ref="F558" r:id="rId717" xr:uid="{00000000-0004-0000-0200-0000CC020000}"/>
    <hyperlink ref="F559" r:id="rId718" xr:uid="{00000000-0004-0000-0200-0000CD020000}"/>
    <hyperlink ref="C560" r:id="rId719" xr:uid="{00000000-0004-0000-0200-0000CE020000}"/>
    <hyperlink ref="F560" r:id="rId720" xr:uid="{00000000-0004-0000-0200-0000CF020000}"/>
    <hyperlink ref="G560" r:id="rId721" xr:uid="{00000000-0004-0000-0200-0000D0020000}"/>
    <hyperlink ref="S560" r:id="rId722" xr:uid="{00000000-0004-0000-0200-0000D1020000}"/>
    <hyperlink ref="F561" r:id="rId723" xr:uid="{00000000-0004-0000-0200-0000D2020000}"/>
    <hyperlink ref="F562" r:id="rId724" xr:uid="{00000000-0004-0000-0200-0000D3020000}"/>
    <hyperlink ref="S562" r:id="rId725" xr:uid="{00000000-0004-0000-0200-0000D4020000}"/>
    <hyperlink ref="S563" r:id="rId726" xr:uid="{00000000-0004-0000-0200-0000D5020000}"/>
    <hyperlink ref="F564" r:id="rId727" xr:uid="{00000000-0004-0000-0200-0000D6020000}"/>
    <hyperlink ref="F565" r:id="rId728" xr:uid="{00000000-0004-0000-0200-0000D7020000}"/>
    <hyperlink ref="S566" r:id="rId729" xr:uid="{00000000-0004-0000-0200-0000D8020000}"/>
    <hyperlink ref="F567" r:id="rId730" xr:uid="{00000000-0004-0000-0200-0000D9020000}"/>
    <hyperlink ref="F568" r:id="rId731" xr:uid="{00000000-0004-0000-0200-0000DA020000}"/>
    <hyperlink ref="G568" r:id="rId732" xr:uid="{00000000-0004-0000-0200-0000DB020000}"/>
    <hyperlink ref="S568" r:id="rId733" xr:uid="{00000000-0004-0000-0200-0000DC020000}"/>
    <hyperlink ref="F569" r:id="rId734" xr:uid="{00000000-0004-0000-0200-0000DD020000}"/>
    <hyperlink ref="S569" r:id="rId735" xr:uid="{00000000-0004-0000-0200-0000DE020000}"/>
    <hyperlink ref="F570" r:id="rId736" xr:uid="{00000000-0004-0000-0200-0000DF020000}"/>
    <hyperlink ref="S570" r:id="rId737" xr:uid="{00000000-0004-0000-0200-0000E0020000}"/>
    <hyperlink ref="S571" r:id="rId738" xr:uid="{00000000-0004-0000-0200-0000E1020000}"/>
    <hyperlink ref="G573" r:id="rId739" xr:uid="{00000000-0004-0000-0200-0000E2020000}"/>
    <hyperlink ref="S573" r:id="rId740" xr:uid="{00000000-0004-0000-0200-0000E3020000}"/>
    <hyperlink ref="F574" r:id="rId741" xr:uid="{00000000-0004-0000-0200-0000E4020000}"/>
    <hyperlink ref="G574" r:id="rId742" xr:uid="{00000000-0004-0000-0200-0000E5020000}"/>
    <hyperlink ref="S574" r:id="rId743" xr:uid="{00000000-0004-0000-0200-0000E6020000}"/>
    <hyperlink ref="F575" r:id="rId744" xr:uid="{00000000-0004-0000-0200-0000E7020000}"/>
    <hyperlink ref="S575" r:id="rId745" xr:uid="{00000000-0004-0000-0200-0000E8020000}"/>
    <hyperlink ref="S576" r:id="rId746" xr:uid="{00000000-0004-0000-0200-0000E9020000}"/>
    <hyperlink ref="G577" r:id="rId747" xr:uid="{00000000-0004-0000-0200-0000EA020000}"/>
    <hyperlink ref="F579" r:id="rId748" xr:uid="{00000000-0004-0000-0200-0000EB020000}"/>
    <hyperlink ref="F580" r:id="rId749" xr:uid="{00000000-0004-0000-0200-0000EC020000}"/>
    <hyperlink ref="S580" r:id="rId750" xr:uid="{00000000-0004-0000-0200-0000ED020000}"/>
    <hyperlink ref="F581" r:id="rId751" xr:uid="{00000000-0004-0000-0200-0000EE020000}"/>
    <hyperlink ref="S581" r:id="rId752" xr:uid="{00000000-0004-0000-0200-0000EF020000}"/>
    <hyperlink ref="F582" r:id="rId753" xr:uid="{00000000-0004-0000-0200-0000F0020000}"/>
    <hyperlink ref="G582" r:id="rId754" xr:uid="{00000000-0004-0000-0200-0000F1020000}"/>
    <hyperlink ref="S582" r:id="rId755" xr:uid="{00000000-0004-0000-0200-0000F2020000}"/>
    <hyperlink ref="F583" r:id="rId756" xr:uid="{00000000-0004-0000-0200-0000F3020000}"/>
    <hyperlink ref="G583" r:id="rId757" xr:uid="{00000000-0004-0000-0200-0000F4020000}"/>
    <hyperlink ref="S583" r:id="rId758" xr:uid="{00000000-0004-0000-0200-0000F5020000}"/>
    <hyperlink ref="F584" r:id="rId759" xr:uid="{00000000-0004-0000-0200-0000F6020000}"/>
    <hyperlink ref="S584" r:id="rId760" xr:uid="{00000000-0004-0000-0200-0000F7020000}"/>
    <hyperlink ref="F585" r:id="rId761" xr:uid="{00000000-0004-0000-0200-0000F8020000}"/>
    <hyperlink ref="S585" r:id="rId762" xr:uid="{00000000-0004-0000-0200-0000F9020000}"/>
    <hyperlink ref="F586" r:id="rId763" xr:uid="{00000000-0004-0000-0200-0000FA020000}"/>
    <hyperlink ref="F587" r:id="rId764" xr:uid="{00000000-0004-0000-0200-0000FB020000}"/>
    <hyperlink ref="S587" r:id="rId765" xr:uid="{00000000-0004-0000-0200-0000FC020000}"/>
    <hyperlink ref="G588" r:id="rId766" xr:uid="{00000000-0004-0000-0200-0000FD020000}"/>
    <hyperlink ref="S588" r:id="rId767" xr:uid="{00000000-0004-0000-0200-0000FE020000}"/>
    <hyperlink ref="F589" r:id="rId768" xr:uid="{00000000-0004-0000-0200-0000FF020000}"/>
    <hyperlink ref="S589" r:id="rId769" xr:uid="{00000000-0004-0000-0200-000000030000}"/>
    <hyperlink ref="F590" r:id="rId770" xr:uid="{00000000-0004-0000-0200-000001030000}"/>
    <hyperlink ref="S590" r:id="rId771" xr:uid="{00000000-0004-0000-0200-000002030000}"/>
    <hyperlink ref="F591" r:id="rId772" xr:uid="{00000000-0004-0000-0200-000003030000}"/>
    <hyperlink ref="S591" r:id="rId773" xr:uid="{00000000-0004-0000-0200-000004030000}"/>
    <hyperlink ref="F592" r:id="rId774" xr:uid="{00000000-0004-0000-0200-000005030000}"/>
    <hyperlink ref="G592" r:id="rId775" xr:uid="{00000000-0004-0000-0200-000006030000}"/>
    <hyperlink ref="S592" r:id="rId776" xr:uid="{00000000-0004-0000-0200-000007030000}"/>
    <hyperlink ref="F593" r:id="rId777" xr:uid="{00000000-0004-0000-0200-000008030000}"/>
    <hyperlink ref="G594" r:id="rId778" xr:uid="{00000000-0004-0000-0200-000009030000}"/>
    <hyperlink ref="S594" r:id="rId779" xr:uid="{00000000-0004-0000-0200-00000A030000}"/>
    <hyperlink ref="S595" r:id="rId780" xr:uid="{00000000-0004-0000-0200-00000B030000}"/>
    <hyperlink ref="F596" r:id="rId781" xr:uid="{00000000-0004-0000-0200-00000C030000}"/>
    <hyperlink ref="F597" r:id="rId782" xr:uid="{00000000-0004-0000-0200-00000D030000}"/>
    <hyperlink ref="S597" r:id="rId783" xr:uid="{00000000-0004-0000-0200-00000E030000}"/>
    <hyperlink ref="F598" r:id="rId784" xr:uid="{00000000-0004-0000-0200-00000F030000}"/>
    <hyperlink ref="C599" r:id="rId785" xr:uid="{00000000-0004-0000-0200-000010030000}"/>
    <hyperlink ref="F599" r:id="rId786" xr:uid="{00000000-0004-0000-0200-000011030000}"/>
    <hyperlink ref="S599" r:id="rId787" xr:uid="{00000000-0004-0000-0200-000012030000}"/>
    <hyperlink ref="F600" r:id="rId788" xr:uid="{00000000-0004-0000-0200-000013030000}"/>
    <hyperlink ref="F601" r:id="rId789" xr:uid="{00000000-0004-0000-0200-000014030000}"/>
    <hyperlink ref="F602" r:id="rId790" xr:uid="{00000000-0004-0000-0200-000015030000}"/>
    <hyperlink ref="G602" r:id="rId791" xr:uid="{00000000-0004-0000-0200-000016030000}"/>
    <hyperlink ref="S602" r:id="rId792" xr:uid="{00000000-0004-0000-0200-000017030000}"/>
    <hyperlink ref="F603" r:id="rId793" xr:uid="{00000000-0004-0000-0200-000018030000}"/>
    <hyperlink ref="S603" r:id="rId794" xr:uid="{00000000-0004-0000-0200-000019030000}"/>
    <hyperlink ref="G604" r:id="rId795" xr:uid="{00000000-0004-0000-0200-00001A030000}"/>
    <hyperlink ref="S604" r:id="rId796" xr:uid="{00000000-0004-0000-0200-00001B030000}"/>
    <hyperlink ref="G605" r:id="rId797" xr:uid="{00000000-0004-0000-0200-00001C030000}"/>
    <hyperlink ref="C606" r:id="rId798" xr:uid="{00000000-0004-0000-0200-00001D030000}"/>
    <hyperlink ref="F606" r:id="rId799" xr:uid="{00000000-0004-0000-0200-00001E030000}"/>
    <hyperlink ref="S606" r:id="rId800" xr:uid="{00000000-0004-0000-0200-00001F030000}"/>
    <hyperlink ref="F607" r:id="rId801" xr:uid="{00000000-0004-0000-0200-000020030000}"/>
    <hyperlink ref="S607" r:id="rId802" xr:uid="{00000000-0004-0000-0200-000021030000}"/>
    <hyperlink ref="G609" r:id="rId803" xr:uid="{00000000-0004-0000-0200-000022030000}"/>
    <hyperlink ref="F610" r:id="rId804" xr:uid="{00000000-0004-0000-0200-000023030000}"/>
    <hyperlink ref="S610" r:id="rId805" xr:uid="{00000000-0004-0000-0200-000024030000}"/>
    <hyperlink ref="F611" r:id="rId806" xr:uid="{00000000-0004-0000-0200-000025030000}"/>
    <hyperlink ref="F612" r:id="rId807" xr:uid="{00000000-0004-0000-0200-000026030000}"/>
    <hyperlink ref="S612" r:id="rId808" xr:uid="{00000000-0004-0000-0200-000027030000}"/>
    <hyperlink ref="F613" r:id="rId809" xr:uid="{00000000-0004-0000-0200-000028030000}"/>
    <hyperlink ref="F614" r:id="rId810" xr:uid="{00000000-0004-0000-0200-000029030000}"/>
    <hyperlink ref="G614" r:id="rId811" xr:uid="{00000000-0004-0000-0200-00002A030000}"/>
    <hyperlink ref="S614" r:id="rId812" xr:uid="{00000000-0004-0000-0200-00002B030000}"/>
    <hyperlink ref="F615" r:id="rId813" xr:uid="{00000000-0004-0000-0200-00002C030000}"/>
    <hyperlink ref="S615" r:id="rId814" xr:uid="{00000000-0004-0000-0200-00002D030000}"/>
    <hyperlink ref="F616" r:id="rId815" xr:uid="{00000000-0004-0000-0200-00002E030000}"/>
    <hyperlink ref="S616" r:id="rId816" xr:uid="{00000000-0004-0000-0200-00002F030000}"/>
    <hyperlink ref="F617" r:id="rId817" xr:uid="{00000000-0004-0000-0200-000030030000}"/>
    <hyperlink ref="G617" r:id="rId818" xr:uid="{00000000-0004-0000-0200-000031030000}"/>
    <hyperlink ref="S617" r:id="rId819" xr:uid="{00000000-0004-0000-0200-000032030000}"/>
    <hyperlink ref="C618" r:id="rId820" xr:uid="{00000000-0004-0000-0200-000033030000}"/>
    <hyperlink ref="F618" r:id="rId821" xr:uid="{00000000-0004-0000-0200-000034030000}"/>
    <hyperlink ref="G618" r:id="rId822" xr:uid="{00000000-0004-0000-0200-000035030000}"/>
    <hyperlink ref="S618" r:id="rId823" xr:uid="{00000000-0004-0000-0200-000036030000}"/>
    <hyperlink ref="F619" r:id="rId824" xr:uid="{00000000-0004-0000-0200-000037030000}"/>
    <hyperlink ref="S619" r:id="rId825" xr:uid="{00000000-0004-0000-0200-000038030000}"/>
    <hyperlink ref="S620" r:id="rId826" xr:uid="{00000000-0004-0000-0200-000039030000}"/>
    <hyperlink ref="F621" r:id="rId827" xr:uid="{00000000-0004-0000-0200-00003A030000}"/>
    <hyperlink ref="S621" r:id="rId828" xr:uid="{00000000-0004-0000-0200-00003B030000}"/>
    <hyperlink ref="F622" r:id="rId829" xr:uid="{00000000-0004-0000-0200-00003C030000}"/>
    <hyperlink ref="G622" r:id="rId830" xr:uid="{00000000-0004-0000-0200-00003D030000}"/>
    <hyperlink ref="S622" r:id="rId831" xr:uid="{00000000-0004-0000-0200-00003E030000}"/>
    <hyperlink ref="F623" r:id="rId832" xr:uid="{00000000-0004-0000-0200-00003F030000}"/>
    <hyperlink ref="F624" r:id="rId833" location="ns_campaign=amp-rrss-inducido&amp;ns_mchannel=abc-es&amp;ns_source=tw&amp;ns_linkname=video&amp;ns_fee=0" xr:uid="{00000000-0004-0000-0200-000040030000}"/>
    <hyperlink ref="G625" r:id="rId834" xr:uid="{00000000-0004-0000-0200-000041030000}"/>
    <hyperlink ref="S625" r:id="rId835" xr:uid="{00000000-0004-0000-0200-000042030000}"/>
    <hyperlink ref="F626" r:id="rId836" xr:uid="{00000000-0004-0000-0200-000043030000}"/>
    <hyperlink ref="S626" r:id="rId837" xr:uid="{00000000-0004-0000-0200-000044030000}"/>
    <hyperlink ref="G627" r:id="rId838" xr:uid="{00000000-0004-0000-0200-000045030000}"/>
    <hyperlink ref="S627" r:id="rId839" xr:uid="{00000000-0004-0000-0200-000046030000}"/>
    <hyperlink ref="G628" r:id="rId840" xr:uid="{00000000-0004-0000-0200-000047030000}"/>
    <hyperlink ref="F629" r:id="rId841" xr:uid="{00000000-0004-0000-0200-000048030000}"/>
    <hyperlink ref="F630" r:id="rId842" xr:uid="{00000000-0004-0000-0200-000049030000}"/>
    <hyperlink ref="F631" r:id="rId843" xr:uid="{00000000-0004-0000-0200-00004A030000}"/>
    <hyperlink ref="F633" r:id="rId844" xr:uid="{00000000-0004-0000-0200-00004B030000}"/>
    <hyperlink ref="S633" r:id="rId845" xr:uid="{00000000-0004-0000-0200-00004C030000}"/>
    <hyperlink ref="S634" r:id="rId846" xr:uid="{00000000-0004-0000-0200-00004D030000}"/>
    <hyperlink ref="F635" r:id="rId847" xr:uid="{00000000-0004-0000-0200-00004E030000}"/>
    <hyperlink ref="F636" r:id="rId848" xr:uid="{00000000-0004-0000-0200-00004F030000}"/>
    <hyperlink ref="S636" r:id="rId849" xr:uid="{00000000-0004-0000-0200-000050030000}"/>
    <hyperlink ref="G638" r:id="rId850" xr:uid="{00000000-0004-0000-0200-000051030000}"/>
    <hyperlink ref="S638" r:id="rId851" xr:uid="{00000000-0004-0000-0200-000052030000}"/>
    <hyperlink ref="S639" r:id="rId852" xr:uid="{00000000-0004-0000-0200-000053030000}"/>
    <hyperlink ref="F640" r:id="rId853" xr:uid="{00000000-0004-0000-0200-000054030000}"/>
    <hyperlink ref="G640" r:id="rId854" xr:uid="{00000000-0004-0000-0200-000055030000}"/>
    <hyperlink ref="S640" r:id="rId855" xr:uid="{00000000-0004-0000-0200-000056030000}"/>
    <hyperlink ref="F643" r:id="rId856" xr:uid="{00000000-0004-0000-0200-000057030000}"/>
    <hyperlink ref="G643" r:id="rId857" xr:uid="{00000000-0004-0000-0200-000058030000}"/>
    <hyperlink ref="S643" r:id="rId858" xr:uid="{00000000-0004-0000-0200-000059030000}"/>
    <hyperlink ref="G644" r:id="rId859" xr:uid="{00000000-0004-0000-0200-00005A030000}"/>
    <hyperlink ref="G648" r:id="rId860" xr:uid="{00000000-0004-0000-0200-00005B030000}"/>
    <hyperlink ref="S648" r:id="rId861" xr:uid="{00000000-0004-0000-0200-00005C030000}"/>
    <hyperlink ref="S652" r:id="rId862" xr:uid="{00000000-0004-0000-0200-00005D030000}"/>
    <hyperlink ref="F655" r:id="rId863" xr:uid="{00000000-0004-0000-0200-00005E030000}"/>
    <hyperlink ref="G655" r:id="rId864" xr:uid="{00000000-0004-0000-0200-00005F030000}"/>
    <hyperlink ref="S655" r:id="rId865" xr:uid="{00000000-0004-0000-0200-000060030000}"/>
    <hyperlink ref="F657" r:id="rId866" xr:uid="{00000000-0004-0000-0200-000061030000}"/>
    <hyperlink ref="S657" r:id="rId867" xr:uid="{00000000-0004-0000-0200-000062030000}"/>
    <hyperlink ref="F658" r:id="rId868" xr:uid="{00000000-0004-0000-0200-000063030000}"/>
    <hyperlink ref="S659" r:id="rId869" xr:uid="{00000000-0004-0000-0200-000064030000}"/>
    <hyperlink ref="S660" r:id="rId870" xr:uid="{00000000-0004-0000-0200-000065030000}"/>
    <hyperlink ref="F661" r:id="rId871" xr:uid="{00000000-0004-0000-0200-000066030000}"/>
    <hyperlink ref="S661" r:id="rId872" xr:uid="{00000000-0004-0000-0200-000067030000}"/>
    <hyperlink ref="F662" r:id="rId873" xr:uid="{00000000-0004-0000-0200-000068030000}"/>
    <hyperlink ref="S662" r:id="rId874" xr:uid="{00000000-0004-0000-0200-000069030000}"/>
    <hyperlink ref="F663" r:id="rId875" xr:uid="{00000000-0004-0000-0200-00006A030000}"/>
    <hyperlink ref="S663" r:id="rId876" xr:uid="{00000000-0004-0000-0200-00006B030000}"/>
    <hyperlink ref="F664" r:id="rId877" xr:uid="{00000000-0004-0000-0200-00006C030000}"/>
    <hyperlink ref="S665" r:id="rId878" xr:uid="{00000000-0004-0000-0200-00006D030000}"/>
    <hyperlink ref="F666" r:id="rId879" xr:uid="{00000000-0004-0000-0200-00006E030000}"/>
    <hyperlink ref="F667" r:id="rId880" xr:uid="{00000000-0004-0000-0200-00006F030000}"/>
    <hyperlink ref="S667" r:id="rId881" xr:uid="{00000000-0004-0000-0200-000070030000}"/>
    <hyperlink ref="F668" r:id="rId882" xr:uid="{00000000-0004-0000-0200-000071030000}"/>
    <hyperlink ref="S669" r:id="rId883" xr:uid="{00000000-0004-0000-0200-000072030000}"/>
    <hyperlink ref="F670" r:id="rId884" xr:uid="{00000000-0004-0000-0200-000073030000}"/>
    <hyperlink ref="F671" r:id="rId885" xr:uid="{00000000-0004-0000-0200-000074030000}"/>
    <hyperlink ref="S671" r:id="rId886" xr:uid="{00000000-0004-0000-0200-000075030000}"/>
    <hyperlink ref="F673" r:id="rId887" xr:uid="{00000000-0004-0000-0200-000076030000}"/>
    <hyperlink ref="F674" r:id="rId888" xr:uid="{00000000-0004-0000-0200-000077030000}"/>
    <hyperlink ref="F675" r:id="rId889" xr:uid="{00000000-0004-0000-0200-000078030000}"/>
    <hyperlink ref="F676" r:id="rId890" xr:uid="{00000000-0004-0000-0200-000079030000}"/>
    <hyperlink ref="F677" r:id="rId891" xr:uid="{00000000-0004-0000-0200-00007A030000}"/>
    <hyperlink ref="F678" r:id="rId892" xr:uid="{00000000-0004-0000-0200-00007B030000}"/>
    <hyperlink ref="S678" r:id="rId893" xr:uid="{00000000-0004-0000-0200-00007C030000}"/>
    <hyperlink ref="G679" r:id="rId894" xr:uid="{00000000-0004-0000-0200-00007D030000}"/>
    <hyperlink ref="F680" r:id="rId895" xr:uid="{00000000-0004-0000-0200-00007E030000}"/>
    <hyperlink ref="S680" r:id="rId896" xr:uid="{00000000-0004-0000-0200-00007F030000}"/>
    <hyperlink ref="F682" r:id="rId897" xr:uid="{00000000-0004-0000-0200-000080030000}"/>
    <hyperlink ref="F683" r:id="rId898" xr:uid="{00000000-0004-0000-0200-000081030000}"/>
    <hyperlink ref="F685" r:id="rId899" xr:uid="{00000000-0004-0000-0200-000082030000}"/>
    <hyperlink ref="S685" r:id="rId900" xr:uid="{00000000-0004-0000-0200-000083030000}"/>
    <hyperlink ref="F686" r:id="rId901" xr:uid="{00000000-0004-0000-0200-000084030000}"/>
    <hyperlink ref="S686" r:id="rId902" xr:uid="{00000000-0004-0000-0200-000085030000}"/>
    <hyperlink ref="F687" r:id="rId903" xr:uid="{00000000-0004-0000-0200-000086030000}"/>
    <hyperlink ref="S687" r:id="rId904" xr:uid="{00000000-0004-0000-0200-000087030000}"/>
    <hyperlink ref="F688" r:id="rId905" xr:uid="{00000000-0004-0000-0200-000088030000}"/>
    <hyperlink ref="F689" r:id="rId906" xr:uid="{00000000-0004-0000-0200-000089030000}"/>
    <hyperlink ref="F690" r:id="rId907" xr:uid="{00000000-0004-0000-0200-00008A030000}"/>
    <hyperlink ref="S690" r:id="rId908" xr:uid="{00000000-0004-0000-0200-00008B030000}"/>
    <hyperlink ref="F693" r:id="rId909" xr:uid="{00000000-0004-0000-0200-00008C030000}"/>
    <hyperlink ref="F694" r:id="rId910" xr:uid="{00000000-0004-0000-0200-00008D030000}"/>
    <hyperlink ref="S694" r:id="rId911" xr:uid="{00000000-0004-0000-0200-00008E030000}"/>
    <hyperlink ref="F695" r:id="rId912" xr:uid="{00000000-0004-0000-0200-00008F030000}"/>
    <hyperlink ref="F696" r:id="rId913" xr:uid="{00000000-0004-0000-0200-000090030000}"/>
    <hyperlink ref="S696" r:id="rId914" xr:uid="{00000000-0004-0000-0200-000091030000}"/>
    <hyperlink ref="F697" r:id="rId915" xr:uid="{00000000-0004-0000-0200-000092030000}"/>
    <hyperlink ref="F698" r:id="rId916" xr:uid="{00000000-0004-0000-0200-000093030000}"/>
    <hyperlink ref="F699" r:id="rId917" xr:uid="{00000000-0004-0000-0200-000094030000}"/>
    <hyperlink ref="F700" r:id="rId918" xr:uid="{00000000-0004-0000-0200-000095030000}"/>
    <hyperlink ref="G701" r:id="rId919" xr:uid="{00000000-0004-0000-0200-000096030000}"/>
    <hyperlink ref="F702" r:id="rId920" xr:uid="{00000000-0004-0000-0200-000097030000}"/>
    <hyperlink ref="F705" r:id="rId921" xr:uid="{00000000-0004-0000-0200-000098030000}"/>
    <hyperlink ref="S705" r:id="rId922" xr:uid="{00000000-0004-0000-0200-000099030000}"/>
    <hyperlink ref="F706" r:id="rId923" xr:uid="{00000000-0004-0000-0200-00009A030000}"/>
    <hyperlink ref="F707" r:id="rId924" xr:uid="{00000000-0004-0000-0200-00009B030000}"/>
    <hyperlink ref="S707" r:id="rId925" xr:uid="{00000000-0004-0000-0200-00009C030000}"/>
    <hyperlink ref="F708" r:id="rId926" xr:uid="{00000000-0004-0000-0200-00009D030000}"/>
    <hyperlink ref="F709" r:id="rId927" xr:uid="{00000000-0004-0000-0200-00009E030000}"/>
    <hyperlink ref="F710" r:id="rId928" xr:uid="{00000000-0004-0000-0200-00009F030000}"/>
    <hyperlink ref="S710" r:id="rId929" xr:uid="{00000000-0004-0000-0200-0000A0030000}"/>
    <hyperlink ref="F711" r:id="rId930" xr:uid="{00000000-0004-0000-0200-0000A1030000}"/>
    <hyperlink ref="S711" r:id="rId931" xr:uid="{00000000-0004-0000-0200-0000A2030000}"/>
    <hyperlink ref="F712" r:id="rId932" xr:uid="{00000000-0004-0000-0200-0000A3030000}"/>
    <hyperlink ref="G712" r:id="rId933" xr:uid="{00000000-0004-0000-0200-0000A4030000}"/>
    <hyperlink ref="S712" r:id="rId934" xr:uid="{00000000-0004-0000-0200-0000A5030000}"/>
    <hyperlink ref="F713" r:id="rId935" xr:uid="{00000000-0004-0000-0200-0000A6030000}"/>
    <hyperlink ref="F714" r:id="rId936" xr:uid="{00000000-0004-0000-0200-0000A7030000}"/>
    <hyperlink ref="F715" r:id="rId937" xr:uid="{00000000-0004-0000-0200-0000A8030000}"/>
    <hyperlink ref="F716" r:id="rId938" xr:uid="{00000000-0004-0000-0200-0000A9030000}"/>
    <hyperlink ref="S716" r:id="rId939" xr:uid="{00000000-0004-0000-0200-0000AA030000}"/>
    <hyperlink ref="F717" r:id="rId940" xr:uid="{00000000-0004-0000-0200-0000AB030000}"/>
    <hyperlink ref="F718" r:id="rId941" xr:uid="{00000000-0004-0000-0200-0000AC030000}"/>
    <hyperlink ref="F719" r:id="rId942" xr:uid="{00000000-0004-0000-0200-0000AD030000}"/>
    <hyperlink ref="S719" r:id="rId943" xr:uid="{00000000-0004-0000-0200-0000AE030000}"/>
    <hyperlink ref="F720" r:id="rId944" xr:uid="{00000000-0004-0000-0200-0000AF030000}"/>
    <hyperlink ref="F721" r:id="rId945" xr:uid="{00000000-0004-0000-0200-0000B0030000}"/>
    <hyperlink ref="S721" r:id="rId946" xr:uid="{00000000-0004-0000-0200-0000B1030000}"/>
    <hyperlink ref="F722" r:id="rId947" xr:uid="{00000000-0004-0000-0200-0000B2030000}"/>
    <hyperlink ref="G722" r:id="rId948" xr:uid="{00000000-0004-0000-0200-0000B3030000}"/>
    <hyperlink ref="S722" r:id="rId949" xr:uid="{00000000-0004-0000-0200-0000B4030000}"/>
    <hyperlink ref="F723" r:id="rId950" xr:uid="{00000000-0004-0000-0200-0000B5030000}"/>
    <hyperlink ref="S723" r:id="rId951" xr:uid="{00000000-0004-0000-0200-0000B6030000}"/>
    <hyperlink ref="F724" r:id="rId952" xr:uid="{00000000-0004-0000-0200-0000B7030000}"/>
    <hyperlink ref="F726" r:id="rId953" xr:uid="{00000000-0004-0000-0200-0000B8030000}"/>
    <hyperlink ref="S726" r:id="rId954" xr:uid="{00000000-0004-0000-0200-0000B9030000}"/>
    <hyperlink ref="F727" r:id="rId955" xr:uid="{00000000-0004-0000-0200-0000BA030000}"/>
    <hyperlink ref="S727" r:id="rId956" xr:uid="{00000000-0004-0000-0200-0000BB030000}"/>
    <hyperlink ref="F728" r:id="rId957" xr:uid="{00000000-0004-0000-0200-0000BC030000}"/>
    <hyperlink ref="F729" r:id="rId958" xr:uid="{00000000-0004-0000-0200-0000BD030000}"/>
    <hyperlink ref="F730" r:id="rId959" xr:uid="{00000000-0004-0000-0200-0000BE030000}"/>
    <hyperlink ref="S730" r:id="rId960" xr:uid="{00000000-0004-0000-0200-0000BF030000}"/>
    <hyperlink ref="F731" r:id="rId961" xr:uid="{00000000-0004-0000-0200-0000C0030000}"/>
    <hyperlink ref="G731" r:id="rId962" xr:uid="{00000000-0004-0000-0200-0000C1030000}"/>
    <hyperlink ref="S731" r:id="rId963" xr:uid="{00000000-0004-0000-0200-0000C2030000}"/>
    <hyperlink ref="F732" r:id="rId964" xr:uid="{00000000-0004-0000-0200-0000C3030000}"/>
    <hyperlink ref="S732" r:id="rId965" xr:uid="{00000000-0004-0000-0200-0000C4030000}"/>
    <hyperlink ref="F733" r:id="rId966" xr:uid="{00000000-0004-0000-0200-0000C5030000}"/>
    <hyperlink ref="S733" r:id="rId967" xr:uid="{00000000-0004-0000-0200-0000C6030000}"/>
    <hyperlink ref="F734" r:id="rId968" xr:uid="{00000000-0004-0000-0200-0000C7030000}"/>
    <hyperlink ref="S734" r:id="rId969" xr:uid="{00000000-0004-0000-0200-0000C8030000}"/>
    <hyperlink ref="F735" r:id="rId970" xr:uid="{00000000-0004-0000-0200-0000C9030000}"/>
    <hyperlink ref="F736" r:id="rId971" xr:uid="{00000000-0004-0000-0200-0000CA030000}"/>
    <hyperlink ref="S736" r:id="rId972" xr:uid="{00000000-0004-0000-0200-0000CB030000}"/>
    <hyperlink ref="F737" r:id="rId973" xr:uid="{00000000-0004-0000-0200-0000CC030000}"/>
    <hyperlink ref="S737" r:id="rId974" xr:uid="{00000000-0004-0000-0200-0000CD030000}"/>
    <hyperlink ref="F738" r:id="rId975" xr:uid="{00000000-0004-0000-0200-0000CE030000}"/>
    <hyperlink ref="F739" r:id="rId976" xr:uid="{00000000-0004-0000-0200-0000CF030000}"/>
    <hyperlink ref="S739" r:id="rId977" xr:uid="{00000000-0004-0000-0200-0000D0030000}"/>
    <hyperlink ref="S740" r:id="rId978" xr:uid="{00000000-0004-0000-0200-0000D1030000}"/>
    <hyperlink ref="F741" r:id="rId979" xr:uid="{00000000-0004-0000-0200-0000D2030000}"/>
    <hyperlink ref="F742" r:id="rId980" xr:uid="{00000000-0004-0000-0200-0000D3030000}"/>
    <hyperlink ref="S742" r:id="rId981" xr:uid="{00000000-0004-0000-0200-0000D4030000}"/>
    <hyperlink ref="F743" r:id="rId982" xr:uid="{00000000-0004-0000-0200-0000D5030000}"/>
    <hyperlink ref="G743" r:id="rId983" xr:uid="{00000000-0004-0000-0200-0000D6030000}"/>
    <hyperlink ref="S743" r:id="rId984" xr:uid="{00000000-0004-0000-0200-0000D7030000}"/>
    <hyperlink ref="F744" r:id="rId985" xr:uid="{00000000-0004-0000-0200-0000D8030000}"/>
    <hyperlink ref="G744" r:id="rId986" xr:uid="{00000000-0004-0000-0200-0000D9030000}"/>
    <hyperlink ref="S744" r:id="rId987" xr:uid="{00000000-0004-0000-0200-0000DA030000}"/>
    <hyperlink ref="F745" r:id="rId988" xr:uid="{00000000-0004-0000-0200-0000DB030000}"/>
    <hyperlink ref="G745" r:id="rId989" xr:uid="{00000000-0004-0000-0200-0000DC030000}"/>
    <hyperlink ref="S745" r:id="rId990" xr:uid="{00000000-0004-0000-0200-0000DD030000}"/>
    <hyperlink ref="F746" r:id="rId991" xr:uid="{00000000-0004-0000-0200-0000DE030000}"/>
    <hyperlink ref="S746" r:id="rId992" xr:uid="{00000000-0004-0000-0200-0000DF030000}"/>
    <hyperlink ref="G747" r:id="rId993" xr:uid="{00000000-0004-0000-0200-0000E0030000}"/>
    <hyperlink ref="F748" r:id="rId994" xr:uid="{00000000-0004-0000-0200-0000E1030000}"/>
    <hyperlink ref="G748" r:id="rId995" xr:uid="{00000000-0004-0000-0200-0000E2030000}"/>
    <hyperlink ref="S748" r:id="rId996" xr:uid="{00000000-0004-0000-0200-0000E3030000}"/>
    <hyperlink ref="F750" r:id="rId997" xr:uid="{00000000-0004-0000-0200-0000E4030000}"/>
    <hyperlink ref="F751" r:id="rId998" xr:uid="{00000000-0004-0000-0200-0000E5030000}"/>
    <hyperlink ref="S751" r:id="rId999" xr:uid="{00000000-0004-0000-0200-0000E6030000}"/>
    <hyperlink ref="G752" r:id="rId1000" xr:uid="{00000000-0004-0000-0200-0000E7030000}"/>
    <hyperlink ref="F755" r:id="rId1001" xr:uid="{00000000-0004-0000-0200-0000E8030000}"/>
    <hyperlink ref="F756" r:id="rId1002" xr:uid="{00000000-0004-0000-0200-0000E9030000}"/>
    <hyperlink ref="S756" r:id="rId1003" xr:uid="{00000000-0004-0000-0200-0000EA030000}"/>
    <hyperlink ref="F757" r:id="rId1004" xr:uid="{00000000-0004-0000-0200-0000EB030000}"/>
    <hyperlink ref="S757" r:id="rId1005" xr:uid="{00000000-0004-0000-0200-0000EC030000}"/>
    <hyperlink ref="F758" r:id="rId1006" xr:uid="{00000000-0004-0000-0200-0000ED030000}"/>
    <hyperlink ref="G758" r:id="rId1007" xr:uid="{00000000-0004-0000-0200-0000EE030000}"/>
    <hyperlink ref="S758" r:id="rId1008" xr:uid="{00000000-0004-0000-0200-0000EF030000}"/>
    <hyperlink ref="S759" r:id="rId1009" xr:uid="{00000000-0004-0000-0200-0000F0030000}"/>
    <hyperlink ref="S760" r:id="rId1010" xr:uid="{00000000-0004-0000-0200-0000F1030000}"/>
    <hyperlink ref="F761" r:id="rId1011" xr:uid="{00000000-0004-0000-0200-0000F2030000}"/>
    <hyperlink ref="F762" r:id="rId1012" xr:uid="{00000000-0004-0000-0200-0000F3030000}"/>
    <hyperlink ref="S762" r:id="rId1013" xr:uid="{00000000-0004-0000-0200-0000F4030000}"/>
    <hyperlink ref="F763" r:id="rId1014" xr:uid="{00000000-0004-0000-0200-0000F5030000}"/>
    <hyperlink ref="G763" r:id="rId1015" xr:uid="{00000000-0004-0000-0200-0000F6030000}"/>
    <hyperlink ref="S763" r:id="rId1016" xr:uid="{00000000-0004-0000-0200-0000F7030000}"/>
    <hyperlink ref="G766" r:id="rId1017" xr:uid="{00000000-0004-0000-0200-0000F8030000}"/>
    <hyperlink ref="S766" r:id="rId1018" xr:uid="{00000000-0004-0000-0200-0000F9030000}"/>
    <hyperlink ref="G767" r:id="rId1019" xr:uid="{00000000-0004-0000-0200-0000FA030000}"/>
    <hyperlink ref="F769" r:id="rId1020" xr:uid="{00000000-0004-0000-0200-0000FB030000}"/>
    <hyperlink ref="G769" r:id="rId1021" xr:uid="{00000000-0004-0000-0200-0000FC030000}"/>
    <hyperlink ref="S769" r:id="rId1022" xr:uid="{00000000-0004-0000-0200-0000FD030000}"/>
    <hyperlink ref="F770" r:id="rId1023" location=".XAghuOI7p98.twitter" xr:uid="{00000000-0004-0000-0200-0000FE030000}"/>
    <hyperlink ref="S770" r:id="rId1024" xr:uid="{00000000-0004-0000-0200-0000FF030000}"/>
    <hyperlink ref="G772" r:id="rId1025" xr:uid="{00000000-0004-0000-0200-000000040000}"/>
    <hyperlink ref="S772" r:id="rId1026" xr:uid="{00000000-0004-0000-0200-000001040000}"/>
    <hyperlink ref="F773" r:id="rId1027" xr:uid="{00000000-0004-0000-0200-000002040000}"/>
    <hyperlink ref="G774" r:id="rId1028" xr:uid="{00000000-0004-0000-0200-000003040000}"/>
    <hyperlink ref="S774" r:id="rId1029" xr:uid="{00000000-0004-0000-0200-000004040000}"/>
    <hyperlink ref="S775" r:id="rId1030" xr:uid="{00000000-0004-0000-0200-000005040000}"/>
    <hyperlink ref="S776" r:id="rId1031" xr:uid="{00000000-0004-0000-0200-000006040000}"/>
    <hyperlink ref="F777" r:id="rId1032" xr:uid="{00000000-0004-0000-0200-000007040000}"/>
    <hyperlink ref="S777" r:id="rId1033" xr:uid="{00000000-0004-0000-0200-000008040000}"/>
    <hyperlink ref="F779" r:id="rId1034" xr:uid="{00000000-0004-0000-0200-000009040000}"/>
    <hyperlink ref="S779" r:id="rId1035" xr:uid="{00000000-0004-0000-0200-00000A040000}"/>
    <hyperlink ref="C780" r:id="rId1036" xr:uid="{00000000-0004-0000-0200-00000B040000}"/>
    <hyperlink ref="F780" r:id="rId1037" xr:uid="{00000000-0004-0000-0200-00000C040000}"/>
    <hyperlink ref="G780" r:id="rId1038" xr:uid="{00000000-0004-0000-0200-00000D040000}"/>
    <hyperlink ref="S780" r:id="rId1039" xr:uid="{00000000-0004-0000-0200-00000E040000}"/>
    <hyperlink ref="F781" r:id="rId1040" xr:uid="{00000000-0004-0000-0200-00000F040000}"/>
    <hyperlink ref="S781" r:id="rId1041" xr:uid="{00000000-0004-0000-0200-000010040000}"/>
    <hyperlink ref="F782" r:id="rId1042" xr:uid="{00000000-0004-0000-0200-000011040000}"/>
    <hyperlink ref="S782" r:id="rId1043" xr:uid="{00000000-0004-0000-0200-000012040000}"/>
    <hyperlink ref="F783" r:id="rId1044" xr:uid="{00000000-0004-0000-0200-000013040000}"/>
    <hyperlink ref="G783" r:id="rId1045" xr:uid="{00000000-0004-0000-0200-000014040000}"/>
    <hyperlink ref="S783" r:id="rId1046" xr:uid="{00000000-0004-0000-0200-000015040000}"/>
    <hyperlink ref="F784" r:id="rId1047" xr:uid="{00000000-0004-0000-0200-000016040000}"/>
    <hyperlink ref="S784" r:id="rId1048" xr:uid="{00000000-0004-0000-0200-000017040000}"/>
    <hyperlink ref="G785" r:id="rId1049" xr:uid="{00000000-0004-0000-0200-000018040000}"/>
    <hyperlink ref="F788" r:id="rId1050" xr:uid="{00000000-0004-0000-0200-000019040000}"/>
    <hyperlink ref="F789" r:id="rId1051" xr:uid="{00000000-0004-0000-0200-00001A040000}"/>
    <hyperlink ref="F790" r:id="rId1052" xr:uid="{00000000-0004-0000-0200-00001B040000}"/>
    <hyperlink ref="S790" r:id="rId1053" xr:uid="{00000000-0004-0000-0200-00001C040000}"/>
    <hyperlink ref="G791" r:id="rId1054" xr:uid="{00000000-0004-0000-0200-00001D040000}"/>
    <hyperlink ref="S791" r:id="rId1055" xr:uid="{00000000-0004-0000-0200-00001E040000}"/>
    <hyperlink ref="S792" r:id="rId1056" xr:uid="{00000000-0004-0000-0200-00001F040000}"/>
    <hyperlink ref="F793" r:id="rId1057" xr:uid="{00000000-0004-0000-0200-000020040000}"/>
    <hyperlink ref="G793" r:id="rId1058" xr:uid="{00000000-0004-0000-0200-000021040000}"/>
    <hyperlink ref="S793" r:id="rId1059" xr:uid="{00000000-0004-0000-0200-000022040000}"/>
    <hyperlink ref="F794" r:id="rId1060" xr:uid="{00000000-0004-0000-0200-000023040000}"/>
    <hyperlink ref="S794" r:id="rId1061" xr:uid="{00000000-0004-0000-0200-000024040000}"/>
    <hyperlink ref="F795" r:id="rId1062" xr:uid="{00000000-0004-0000-0200-000025040000}"/>
    <hyperlink ref="G795" r:id="rId1063" xr:uid="{00000000-0004-0000-0200-000026040000}"/>
    <hyperlink ref="S795" r:id="rId1064" xr:uid="{00000000-0004-0000-0200-000027040000}"/>
    <hyperlink ref="F796" r:id="rId1065" xr:uid="{00000000-0004-0000-0200-000028040000}"/>
    <hyperlink ref="S796" r:id="rId1066" xr:uid="{00000000-0004-0000-0200-000029040000}"/>
    <hyperlink ref="F797" r:id="rId1067" xr:uid="{00000000-0004-0000-0200-00002A040000}"/>
    <hyperlink ref="S797" r:id="rId1068" xr:uid="{00000000-0004-0000-0200-00002B040000}"/>
    <hyperlink ref="F798" r:id="rId1069" xr:uid="{00000000-0004-0000-0200-00002C040000}"/>
    <hyperlink ref="S798" r:id="rId1070" xr:uid="{00000000-0004-0000-0200-00002D040000}"/>
    <hyperlink ref="F800" r:id="rId1071" xr:uid="{00000000-0004-0000-0200-00002E040000}"/>
    <hyperlink ref="S800" r:id="rId1072" xr:uid="{00000000-0004-0000-0200-00002F040000}"/>
    <hyperlink ref="F801" r:id="rId1073" xr:uid="{00000000-0004-0000-0200-000030040000}"/>
    <hyperlink ref="G801" r:id="rId1074" xr:uid="{00000000-0004-0000-0200-000031040000}"/>
    <hyperlink ref="F802" r:id="rId1075" xr:uid="{00000000-0004-0000-0200-000032040000}"/>
    <hyperlink ref="F803" r:id="rId1076" xr:uid="{00000000-0004-0000-0200-000033040000}"/>
    <hyperlink ref="S803" r:id="rId1077" xr:uid="{00000000-0004-0000-0200-000034040000}"/>
    <hyperlink ref="F806" r:id="rId1078" xr:uid="{00000000-0004-0000-0200-000035040000}"/>
    <hyperlink ref="G806" r:id="rId1079" xr:uid="{00000000-0004-0000-0200-000036040000}"/>
    <hyperlink ref="F807" r:id="rId1080" xr:uid="{00000000-0004-0000-0200-000037040000}"/>
    <hyperlink ref="F808" r:id="rId1081" xr:uid="{00000000-0004-0000-0200-000038040000}"/>
    <hyperlink ref="S808" r:id="rId1082" xr:uid="{00000000-0004-0000-0200-000039040000}"/>
    <hyperlink ref="F810" r:id="rId1083" xr:uid="{00000000-0004-0000-0200-00003A040000}"/>
    <hyperlink ref="S810" r:id="rId1084" xr:uid="{00000000-0004-0000-0200-00003B040000}"/>
    <hyperlink ref="F811" r:id="rId1085" xr:uid="{00000000-0004-0000-0200-00003C040000}"/>
    <hyperlink ref="G811" r:id="rId1086" xr:uid="{00000000-0004-0000-0200-00003D040000}"/>
    <hyperlink ref="S811" r:id="rId1087" xr:uid="{00000000-0004-0000-0200-00003E040000}"/>
    <hyperlink ref="S814" r:id="rId1088" xr:uid="{00000000-0004-0000-0200-00003F040000}"/>
    <hyperlink ref="G815" r:id="rId1089" xr:uid="{00000000-0004-0000-0200-000040040000}"/>
    <hyperlink ref="F816" r:id="rId1090" xr:uid="{00000000-0004-0000-0200-000041040000}"/>
    <hyperlink ref="S816" r:id="rId1091" xr:uid="{00000000-0004-0000-0200-000042040000}"/>
    <hyperlink ref="F817" r:id="rId1092" xr:uid="{00000000-0004-0000-0200-000043040000}"/>
    <hyperlink ref="S817" r:id="rId1093" xr:uid="{00000000-0004-0000-0200-000044040000}"/>
    <hyperlink ref="G818" r:id="rId1094" xr:uid="{00000000-0004-0000-0200-000045040000}"/>
    <hyperlink ref="S818" r:id="rId1095" xr:uid="{00000000-0004-0000-0200-000046040000}"/>
    <hyperlink ref="F820" r:id="rId1096" xr:uid="{00000000-0004-0000-0200-000047040000}"/>
    <hyperlink ref="F821" r:id="rId1097" xr:uid="{00000000-0004-0000-0200-000048040000}"/>
    <hyperlink ref="F822" r:id="rId1098" xr:uid="{00000000-0004-0000-0200-000049040000}"/>
    <hyperlink ref="G822" r:id="rId1099" xr:uid="{00000000-0004-0000-0200-00004A040000}"/>
    <hyperlink ref="S822" r:id="rId1100" xr:uid="{00000000-0004-0000-0200-00004B040000}"/>
    <hyperlink ref="F823" r:id="rId1101" xr:uid="{00000000-0004-0000-0200-00004C040000}"/>
    <hyperlink ref="S823" r:id="rId1102" xr:uid="{00000000-0004-0000-0200-00004D040000}"/>
    <hyperlink ref="F825" r:id="rId1103" xr:uid="{00000000-0004-0000-0200-00004E040000}"/>
    <hyperlink ref="G825" r:id="rId1104" xr:uid="{00000000-0004-0000-0200-00004F040000}"/>
    <hyperlink ref="S825" r:id="rId1105" xr:uid="{00000000-0004-0000-0200-000050040000}"/>
    <hyperlink ref="F826" r:id="rId1106" xr:uid="{00000000-0004-0000-0200-000051040000}"/>
    <hyperlink ref="F827" r:id="rId1107" xr:uid="{00000000-0004-0000-0200-000052040000}"/>
    <hyperlink ref="F828" r:id="rId1108" xr:uid="{00000000-0004-0000-0200-000053040000}"/>
    <hyperlink ref="G828" r:id="rId1109" xr:uid="{00000000-0004-0000-0200-000054040000}"/>
    <hyperlink ref="S828" r:id="rId1110" xr:uid="{00000000-0004-0000-0200-000055040000}"/>
    <hyperlink ref="F830" r:id="rId1111" xr:uid="{00000000-0004-0000-0200-000056040000}"/>
    <hyperlink ref="G830" r:id="rId1112" xr:uid="{00000000-0004-0000-0200-000057040000}"/>
    <hyperlink ref="S830" r:id="rId1113" xr:uid="{00000000-0004-0000-0200-000058040000}"/>
    <hyperlink ref="F831" r:id="rId1114" xr:uid="{00000000-0004-0000-0200-000059040000}"/>
    <hyperlink ref="S831" r:id="rId1115" xr:uid="{00000000-0004-0000-0200-00005A040000}"/>
    <hyperlink ref="F832" r:id="rId1116" xr:uid="{00000000-0004-0000-0200-00005B040000}"/>
    <hyperlink ref="G832" r:id="rId1117" xr:uid="{00000000-0004-0000-0200-00005C040000}"/>
    <hyperlink ref="S832" r:id="rId1118" xr:uid="{00000000-0004-0000-0200-00005D040000}"/>
    <hyperlink ref="F833" r:id="rId1119" xr:uid="{00000000-0004-0000-0200-00005E040000}"/>
    <hyperlink ref="S833" r:id="rId1120" xr:uid="{00000000-0004-0000-0200-00005F040000}"/>
    <hyperlink ref="G835" r:id="rId1121" xr:uid="{00000000-0004-0000-0200-000060040000}"/>
    <hyperlink ref="S835" r:id="rId1122" xr:uid="{00000000-0004-0000-0200-000061040000}"/>
    <hyperlink ref="F836" r:id="rId1123" xr:uid="{00000000-0004-0000-0200-000062040000}"/>
    <hyperlink ref="F837" r:id="rId1124" xr:uid="{00000000-0004-0000-0200-000063040000}"/>
    <hyperlink ref="S837" r:id="rId1125" xr:uid="{00000000-0004-0000-0200-000064040000}"/>
    <hyperlink ref="F838" r:id="rId1126" xr:uid="{00000000-0004-0000-0200-000065040000}"/>
    <hyperlink ref="F839" r:id="rId1127" xr:uid="{00000000-0004-0000-0200-000066040000}"/>
    <hyperlink ref="G839" r:id="rId1128" xr:uid="{00000000-0004-0000-0200-000067040000}"/>
    <hyperlink ref="S839" r:id="rId1129" xr:uid="{00000000-0004-0000-0200-000068040000}"/>
    <hyperlink ref="F840" r:id="rId1130" xr:uid="{00000000-0004-0000-0200-000069040000}"/>
    <hyperlink ref="S840" r:id="rId1131" xr:uid="{00000000-0004-0000-0200-00006A040000}"/>
    <hyperlink ref="F842" r:id="rId1132" xr:uid="{00000000-0004-0000-0200-00006B040000}"/>
    <hyperlink ref="F843" r:id="rId1133" xr:uid="{00000000-0004-0000-0200-00006C040000}"/>
    <hyperlink ref="S843" r:id="rId1134" xr:uid="{00000000-0004-0000-0200-00006D040000}"/>
    <hyperlink ref="F844" r:id="rId1135" xr:uid="{00000000-0004-0000-0200-00006E040000}"/>
    <hyperlink ref="S844" r:id="rId1136" xr:uid="{00000000-0004-0000-0200-00006F040000}"/>
    <hyperlink ref="F845" r:id="rId1137" xr:uid="{00000000-0004-0000-0200-000070040000}"/>
    <hyperlink ref="S845" r:id="rId1138" xr:uid="{00000000-0004-0000-0200-000071040000}"/>
    <hyperlink ref="F846" r:id="rId1139" xr:uid="{00000000-0004-0000-0200-000072040000}"/>
    <hyperlink ref="S846" r:id="rId1140" xr:uid="{00000000-0004-0000-0200-000073040000}"/>
    <hyperlink ref="G847" r:id="rId1141" xr:uid="{00000000-0004-0000-0200-000074040000}"/>
    <hyperlink ref="F848" r:id="rId1142" xr:uid="{00000000-0004-0000-0200-000075040000}"/>
    <hyperlink ref="G848" r:id="rId1143" xr:uid="{00000000-0004-0000-0200-000076040000}"/>
    <hyperlink ref="S848" r:id="rId1144" xr:uid="{00000000-0004-0000-0200-000077040000}"/>
    <hyperlink ref="S849" r:id="rId1145" xr:uid="{00000000-0004-0000-0200-000078040000}"/>
    <hyperlink ref="F850" r:id="rId1146" xr:uid="{00000000-0004-0000-0200-000079040000}"/>
    <hyperlink ref="G850" r:id="rId1147" xr:uid="{00000000-0004-0000-0200-00007A040000}"/>
    <hyperlink ref="S850" r:id="rId1148" xr:uid="{00000000-0004-0000-0200-00007B040000}"/>
    <hyperlink ref="G851" r:id="rId1149" xr:uid="{00000000-0004-0000-0200-00007C040000}"/>
    <hyperlink ref="F852" r:id="rId1150" xr:uid="{00000000-0004-0000-0200-00007D040000}"/>
    <hyperlink ref="S852" r:id="rId1151" xr:uid="{00000000-0004-0000-0200-00007E040000}"/>
    <hyperlink ref="F853" r:id="rId1152" xr:uid="{00000000-0004-0000-0200-00007F040000}"/>
    <hyperlink ref="G853" r:id="rId1153" xr:uid="{00000000-0004-0000-0200-000080040000}"/>
    <hyperlink ref="F855" r:id="rId1154" xr:uid="{00000000-0004-0000-0200-000081040000}"/>
    <hyperlink ref="G855" r:id="rId1155" xr:uid="{00000000-0004-0000-0200-000082040000}"/>
    <hyperlink ref="S855" r:id="rId1156" xr:uid="{00000000-0004-0000-0200-000083040000}"/>
    <hyperlink ref="F857" r:id="rId1157" xr:uid="{00000000-0004-0000-0200-000084040000}"/>
    <hyperlink ref="G857" r:id="rId1158" xr:uid="{00000000-0004-0000-0200-000085040000}"/>
    <hyperlink ref="G859" r:id="rId1159" xr:uid="{00000000-0004-0000-0200-000086040000}"/>
    <hyperlink ref="F860" r:id="rId1160" xr:uid="{00000000-0004-0000-0200-000087040000}"/>
    <hyperlink ref="F861" r:id="rId1161" xr:uid="{00000000-0004-0000-0200-000088040000}"/>
    <hyperlink ref="S862" r:id="rId1162" xr:uid="{00000000-0004-0000-0200-000089040000}"/>
    <hyperlink ref="F863" r:id="rId1163" xr:uid="{00000000-0004-0000-0200-00008A040000}"/>
    <hyperlink ref="S863" r:id="rId1164" xr:uid="{00000000-0004-0000-0200-00008B040000}"/>
    <hyperlink ref="F864" r:id="rId1165" xr:uid="{00000000-0004-0000-0200-00008C040000}"/>
    <hyperlink ref="S864" r:id="rId1166" xr:uid="{00000000-0004-0000-0200-00008D040000}"/>
    <hyperlink ref="F865" r:id="rId1167" xr:uid="{00000000-0004-0000-0200-00008E040000}"/>
    <hyperlink ref="G865" r:id="rId1168" xr:uid="{00000000-0004-0000-0200-00008F040000}"/>
    <hyperlink ref="S865" r:id="rId1169" xr:uid="{00000000-0004-0000-0200-000090040000}"/>
    <hyperlink ref="F866" r:id="rId1170" location="titprelim" xr:uid="{00000000-0004-0000-0200-000091040000}"/>
    <hyperlink ref="F867" r:id="rId1171" xr:uid="{00000000-0004-0000-0200-000092040000}"/>
    <hyperlink ref="G870" r:id="rId1172" xr:uid="{00000000-0004-0000-0200-000093040000}"/>
    <hyperlink ref="F871" r:id="rId1173" xr:uid="{00000000-0004-0000-0200-000094040000}"/>
    <hyperlink ref="F872" r:id="rId1174" xr:uid="{00000000-0004-0000-0200-000095040000}"/>
    <hyperlink ref="F873" r:id="rId1175" xr:uid="{00000000-0004-0000-0200-000096040000}"/>
    <hyperlink ref="F874" r:id="rId1176" xr:uid="{00000000-0004-0000-0200-000097040000}"/>
    <hyperlink ref="G874" r:id="rId1177" xr:uid="{00000000-0004-0000-0200-000098040000}"/>
    <hyperlink ref="S874" r:id="rId1178" xr:uid="{00000000-0004-0000-0200-000099040000}"/>
    <hyperlink ref="F876" r:id="rId1179" xr:uid="{00000000-0004-0000-0200-00009A040000}"/>
    <hyperlink ref="S876" r:id="rId1180" xr:uid="{00000000-0004-0000-0200-00009B040000}"/>
    <hyperlink ref="F877" r:id="rId1181" xr:uid="{00000000-0004-0000-0200-00009C040000}"/>
    <hyperlink ref="F878" r:id="rId1182" xr:uid="{00000000-0004-0000-0200-00009D040000}"/>
    <hyperlink ref="G878" r:id="rId1183" xr:uid="{00000000-0004-0000-0200-00009E040000}"/>
    <hyperlink ref="F879" r:id="rId1184" xr:uid="{00000000-0004-0000-0200-00009F040000}"/>
    <hyperlink ref="S879" r:id="rId1185" xr:uid="{00000000-0004-0000-0200-0000A0040000}"/>
    <hyperlink ref="F880" r:id="rId1186" xr:uid="{00000000-0004-0000-0200-0000A1040000}"/>
    <hyperlink ref="G880" r:id="rId1187" xr:uid="{00000000-0004-0000-0200-0000A2040000}"/>
    <hyperlink ref="F881" r:id="rId1188" xr:uid="{00000000-0004-0000-0200-0000A3040000}"/>
    <hyperlink ref="F882" r:id="rId1189" xr:uid="{00000000-0004-0000-0200-0000A4040000}"/>
    <hyperlink ref="F883" r:id="rId1190" xr:uid="{00000000-0004-0000-0200-0000A5040000}"/>
    <hyperlink ref="F884" r:id="rId1191" xr:uid="{00000000-0004-0000-0200-0000A6040000}"/>
    <hyperlink ref="S884" r:id="rId1192" xr:uid="{00000000-0004-0000-0200-0000A7040000}"/>
    <hyperlink ref="G885" r:id="rId1193" xr:uid="{00000000-0004-0000-0200-0000A8040000}"/>
    <hyperlink ref="S885" r:id="rId1194" xr:uid="{00000000-0004-0000-0200-0000A9040000}"/>
    <hyperlink ref="F887" r:id="rId1195" xr:uid="{00000000-0004-0000-0200-0000AA040000}"/>
    <hyperlink ref="F889" r:id="rId1196" xr:uid="{00000000-0004-0000-0200-0000AB040000}"/>
    <hyperlink ref="S889" r:id="rId1197" xr:uid="{00000000-0004-0000-0200-0000AC040000}"/>
    <hyperlink ref="F890" r:id="rId1198" xr:uid="{00000000-0004-0000-0200-0000AD040000}"/>
    <hyperlink ref="G890" r:id="rId1199" xr:uid="{00000000-0004-0000-0200-0000AE040000}"/>
    <hyperlink ref="S890" r:id="rId1200" xr:uid="{00000000-0004-0000-0200-0000AF040000}"/>
    <hyperlink ref="F891" r:id="rId1201" xr:uid="{00000000-0004-0000-0200-0000B0040000}"/>
    <hyperlink ref="S891" r:id="rId1202" xr:uid="{00000000-0004-0000-0200-0000B1040000}"/>
    <hyperlink ref="F892" r:id="rId1203" xr:uid="{00000000-0004-0000-0200-0000B2040000}"/>
    <hyperlink ref="S892" r:id="rId1204" xr:uid="{00000000-0004-0000-0200-0000B3040000}"/>
    <hyperlink ref="F893" r:id="rId1205" xr:uid="{00000000-0004-0000-0200-0000B4040000}"/>
    <hyperlink ref="F894" r:id="rId1206" xr:uid="{00000000-0004-0000-0200-0000B5040000}"/>
    <hyperlink ref="S894" r:id="rId1207" xr:uid="{00000000-0004-0000-0200-0000B6040000}"/>
    <hyperlink ref="F895" r:id="rId1208" xr:uid="{00000000-0004-0000-0200-0000B7040000}"/>
    <hyperlink ref="F896" r:id="rId1209" xr:uid="{00000000-0004-0000-0200-0000B8040000}"/>
    <hyperlink ref="F899" r:id="rId1210" xr:uid="{00000000-0004-0000-0200-0000B9040000}"/>
    <hyperlink ref="F900" r:id="rId1211" xr:uid="{00000000-0004-0000-0200-0000BA040000}"/>
    <hyperlink ref="S900" r:id="rId1212" xr:uid="{00000000-0004-0000-0200-0000BB040000}"/>
    <hyperlink ref="F901" r:id="rId1213" xr:uid="{00000000-0004-0000-0200-0000BC040000}"/>
    <hyperlink ref="F902" r:id="rId1214" xr:uid="{00000000-0004-0000-0200-0000BD040000}"/>
    <hyperlink ref="S902" r:id="rId1215" xr:uid="{00000000-0004-0000-0200-0000BE040000}"/>
    <hyperlink ref="F903" r:id="rId1216" xr:uid="{00000000-0004-0000-0200-0000BF040000}"/>
    <hyperlink ref="S903" r:id="rId1217" xr:uid="{00000000-0004-0000-0200-0000C0040000}"/>
    <hyperlink ref="F904" r:id="rId1218" xr:uid="{00000000-0004-0000-0200-0000C1040000}"/>
    <hyperlink ref="G904" r:id="rId1219" xr:uid="{00000000-0004-0000-0200-0000C2040000}"/>
    <hyperlink ref="F905" r:id="rId1220" xr:uid="{00000000-0004-0000-0200-0000C3040000}"/>
    <hyperlink ref="S905" r:id="rId1221" xr:uid="{00000000-0004-0000-0200-0000C4040000}"/>
    <hyperlink ref="F906" r:id="rId1222" xr:uid="{00000000-0004-0000-0200-0000C5040000}"/>
    <hyperlink ref="F907" r:id="rId1223" xr:uid="{00000000-0004-0000-0200-0000C6040000}"/>
    <hyperlink ref="G907" r:id="rId1224" xr:uid="{00000000-0004-0000-0200-0000C7040000}"/>
    <hyperlink ref="S907" r:id="rId1225" xr:uid="{00000000-0004-0000-0200-0000C8040000}"/>
    <hyperlink ref="F908" r:id="rId1226" xr:uid="{00000000-0004-0000-0200-0000C9040000}"/>
    <hyperlink ref="S909" r:id="rId1227" xr:uid="{00000000-0004-0000-0200-0000CA040000}"/>
    <hyperlink ref="F910" r:id="rId1228" xr:uid="{00000000-0004-0000-0200-0000CB040000}"/>
    <hyperlink ref="S912" r:id="rId1229" xr:uid="{00000000-0004-0000-0200-0000CC040000}"/>
    <hyperlink ref="F913" r:id="rId1230" xr:uid="{00000000-0004-0000-0200-0000CD040000}"/>
    <hyperlink ref="S913" r:id="rId1231" xr:uid="{00000000-0004-0000-0200-0000CE040000}"/>
    <hyperlink ref="F914" r:id="rId1232" xr:uid="{00000000-0004-0000-0200-0000CF040000}"/>
    <hyperlink ref="S914" r:id="rId1233" xr:uid="{00000000-0004-0000-0200-0000D0040000}"/>
    <hyperlink ref="F915" r:id="rId1234" xr:uid="{00000000-0004-0000-0200-0000D1040000}"/>
    <hyperlink ref="S915" r:id="rId1235" xr:uid="{00000000-0004-0000-0200-0000D2040000}"/>
    <hyperlink ref="F916" r:id="rId1236" xr:uid="{00000000-0004-0000-0200-0000D3040000}"/>
    <hyperlink ref="F917" r:id="rId1237" xr:uid="{00000000-0004-0000-0200-0000D4040000}"/>
    <hyperlink ref="S917" r:id="rId1238" xr:uid="{00000000-0004-0000-0200-0000D5040000}"/>
    <hyperlink ref="F918" r:id="rId1239" xr:uid="{00000000-0004-0000-0200-0000D6040000}"/>
    <hyperlink ref="S918" r:id="rId1240" xr:uid="{00000000-0004-0000-0200-0000D7040000}"/>
    <hyperlink ref="F919" r:id="rId1241" xr:uid="{00000000-0004-0000-0200-0000D8040000}"/>
    <hyperlink ref="F920" r:id="rId1242" xr:uid="{00000000-0004-0000-0200-0000D9040000}"/>
    <hyperlink ref="S920" r:id="rId1243" xr:uid="{00000000-0004-0000-0200-0000DA040000}"/>
    <hyperlink ref="F921" r:id="rId1244" xr:uid="{00000000-0004-0000-0200-0000DB040000}"/>
    <hyperlink ref="G921" r:id="rId1245" xr:uid="{00000000-0004-0000-0200-0000DC040000}"/>
    <hyperlink ref="S921" r:id="rId1246" xr:uid="{00000000-0004-0000-0200-0000DD040000}"/>
    <hyperlink ref="F922" r:id="rId1247" xr:uid="{00000000-0004-0000-0200-0000DE040000}"/>
    <hyperlink ref="G922" r:id="rId1248" xr:uid="{00000000-0004-0000-0200-0000DF040000}"/>
    <hyperlink ref="S922" r:id="rId1249" xr:uid="{00000000-0004-0000-0200-0000E0040000}"/>
    <hyperlink ref="F924" r:id="rId1250" xr:uid="{00000000-0004-0000-0200-0000E1040000}"/>
    <hyperlink ref="G924" r:id="rId1251" xr:uid="{00000000-0004-0000-0200-0000E2040000}"/>
    <hyperlink ref="F925" r:id="rId1252" xr:uid="{00000000-0004-0000-0200-0000E3040000}"/>
    <hyperlink ref="F926" r:id="rId1253" xr:uid="{00000000-0004-0000-0200-0000E4040000}"/>
    <hyperlink ref="G926" r:id="rId1254" xr:uid="{00000000-0004-0000-0200-0000E5040000}"/>
    <hyperlink ref="F927" r:id="rId1255" xr:uid="{00000000-0004-0000-0200-0000E6040000}"/>
    <hyperlink ref="G928" r:id="rId1256" xr:uid="{00000000-0004-0000-0200-0000E7040000}"/>
    <hyperlink ref="F929" r:id="rId1257" xr:uid="{00000000-0004-0000-0200-0000E8040000}"/>
    <hyperlink ref="F930" r:id="rId1258" xr:uid="{00000000-0004-0000-0200-0000E9040000}"/>
    <hyperlink ref="G930" r:id="rId1259" xr:uid="{00000000-0004-0000-0200-0000EA040000}"/>
    <hyperlink ref="S930" r:id="rId1260" xr:uid="{00000000-0004-0000-0200-0000EB040000}"/>
    <hyperlink ref="G931" r:id="rId1261" xr:uid="{00000000-0004-0000-0200-0000EC040000}"/>
    <hyperlink ref="S931" r:id="rId1262" xr:uid="{00000000-0004-0000-0200-0000ED040000}"/>
    <hyperlink ref="F932" r:id="rId1263" xr:uid="{00000000-0004-0000-0200-0000EE040000}"/>
    <hyperlink ref="G932" r:id="rId1264" xr:uid="{00000000-0004-0000-0200-0000EF040000}"/>
    <hyperlink ref="S932" r:id="rId1265" xr:uid="{00000000-0004-0000-0200-0000F0040000}"/>
    <hyperlink ref="F933" r:id="rId1266" xr:uid="{00000000-0004-0000-0200-0000F1040000}"/>
    <hyperlink ref="F934" r:id="rId1267" xr:uid="{00000000-0004-0000-0200-0000F2040000}"/>
    <hyperlink ref="S934" r:id="rId1268" xr:uid="{00000000-0004-0000-0200-0000F3040000}"/>
    <hyperlink ref="F935" r:id="rId1269" xr:uid="{00000000-0004-0000-0200-0000F4040000}"/>
    <hyperlink ref="F936" r:id="rId1270" xr:uid="{00000000-0004-0000-0200-0000F5040000}"/>
    <hyperlink ref="F937" r:id="rId1271" xr:uid="{00000000-0004-0000-0200-0000F6040000}"/>
    <hyperlink ref="F938" r:id="rId1272" xr:uid="{00000000-0004-0000-0200-0000F7040000}"/>
    <hyperlink ref="F939" r:id="rId1273" xr:uid="{00000000-0004-0000-0200-0000F8040000}"/>
    <hyperlink ref="S939" r:id="rId1274" xr:uid="{00000000-0004-0000-0200-0000F9040000}"/>
    <hyperlink ref="F940" r:id="rId1275" xr:uid="{00000000-0004-0000-0200-0000FA040000}"/>
    <hyperlink ref="G940" r:id="rId1276" xr:uid="{00000000-0004-0000-0200-0000FB040000}"/>
    <hyperlink ref="S940" r:id="rId1277" xr:uid="{00000000-0004-0000-0200-0000FC040000}"/>
    <hyperlink ref="F941" r:id="rId1278" xr:uid="{00000000-0004-0000-0200-0000FD040000}"/>
    <hyperlink ref="S941" r:id="rId1279" xr:uid="{00000000-0004-0000-0200-0000FE040000}"/>
    <hyperlink ref="F942" r:id="rId1280" xr:uid="{00000000-0004-0000-0200-0000FF040000}"/>
    <hyperlink ref="G942" r:id="rId1281" xr:uid="{00000000-0004-0000-0200-000000050000}"/>
    <hyperlink ref="S942" r:id="rId1282" xr:uid="{00000000-0004-0000-0200-000001050000}"/>
    <hyperlink ref="F943" r:id="rId1283" xr:uid="{00000000-0004-0000-0200-000002050000}"/>
    <hyperlink ref="S943" r:id="rId1284" xr:uid="{00000000-0004-0000-0200-000003050000}"/>
    <hyperlink ref="F944" r:id="rId1285" xr:uid="{00000000-0004-0000-0200-000004050000}"/>
    <hyperlink ref="G944" r:id="rId1286" xr:uid="{00000000-0004-0000-0200-000005050000}"/>
    <hyperlink ref="F946" r:id="rId1287" xr:uid="{00000000-0004-0000-0200-000006050000}"/>
    <hyperlink ref="G946" r:id="rId1288" xr:uid="{00000000-0004-0000-0200-000007050000}"/>
    <hyperlink ref="F947" r:id="rId1289" xr:uid="{00000000-0004-0000-0200-000008050000}"/>
    <hyperlink ref="S947" r:id="rId1290" xr:uid="{00000000-0004-0000-0200-000009050000}"/>
    <hyperlink ref="F948" r:id="rId1291" xr:uid="{00000000-0004-0000-0200-00000A050000}"/>
    <hyperlink ref="G948" r:id="rId1292" xr:uid="{00000000-0004-0000-0200-00000B050000}"/>
    <hyperlink ref="F949" r:id="rId1293" xr:uid="{00000000-0004-0000-0200-00000C050000}"/>
    <hyperlink ref="G949" r:id="rId1294" xr:uid="{00000000-0004-0000-0200-00000D050000}"/>
    <hyperlink ref="S949" r:id="rId1295" xr:uid="{00000000-0004-0000-0200-00000E050000}"/>
    <hyperlink ref="F950" r:id="rId1296" xr:uid="{00000000-0004-0000-0200-00000F050000}"/>
    <hyperlink ref="F951" r:id="rId1297" xr:uid="{00000000-0004-0000-0200-000010050000}"/>
    <hyperlink ref="G951" r:id="rId1298" xr:uid="{00000000-0004-0000-0200-000011050000}"/>
    <hyperlink ref="S951" r:id="rId1299" xr:uid="{00000000-0004-0000-0200-000012050000}"/>
    <hyperlink ref="F952" r:id="rId1300" xr:uid="{00000000-0004-0000-0200-000013050000}"/>
    <hyperlink ref="F953" r:id="rId1301" xr:uid="{00000000-0004-0000-0200-000014050000}"/>
    <hyperlink ref="F954" r:id="rId1302" xr:uid="{00000000-0004-0000-0200-000015050000}"/>
    <hyperlink ref="F955" r:id="rId1303" xr:uid="{00000000-0004-0000-0200-000016050000}"/>
    <hyperlink ref="F956" r:id="rId1304" xr:uid="{00000000-0004-0000-0200-000017050000}"/>
    <hyperlink ref="S956" r:id="rId1305" xr:uid="{00000000-0004-0000-0200-000018050000}"/>
    <hyperlink ref="F957" r:id="rId1306" xr:uid="{00000000-0004-0000-0200-000019050000}"/>
    <hyperlink ref="F959" r:id="rId1307" xr:uid="{00000000-0004-0000-0200-00001A050000}"/>
    <hyperlink ref="G959" r:id="rId1308" xr:uid="{00000000-0004-0000-0200-00001B050000}"/>
    <hyperlink ref="S959" r:id="rId1309" xr:uid="{00000000-0004-0000-0200-00001C050000}"/>
    <hyperlink ref="F960" r:id="rId1310" xr:uid="{00000000-0004-0000-0200-00001D050000}"/>
    <hyperlink ref="G960" r:id="rId1311" xr:uid="{00000000-0004-0000-0200-00001E050000}"/>
    <hyperlink ref="S960" r:id="rId1312" xr:uid="{00000000-0004-0000-0200-00001F050000}"/>
    <hyperlink ref="F962" r:id="rId1313" xr:uid="{00000000-0004-0000-0200-000020050000}"/>
    <hyperlink ref="G962" r:id="rId1314" xr:uid="{00000000-0004-0000-0200-000021050000}"/>
    <hyperlink ref="S962" r:id="rId1315" xr:uid="{00000000-0004-0000-0200-000022050000}"/>
    <hyperlink ref="S963" r:id="rId1316" xr:uid="{00000000-0004-0000-0200-000023050000}"/>
    <hyperlink ref="S965" r:id="rId1317" xr:uid="{00000000-0004-0000-0200-000024050000}"/>
    <hyperlink ref="F966" r:id="rId1318" xr:uid="{00000000-0004-0000-0200-000025050000}"/>
    <hyperlink ref="F967" r:id="rId1319" xr:uid="{00000000-0004-0000-0200-000026050000}"/>
    <hyperlink ref="S967" r:id="rId1320" xr:uid="{00000000-0004-0000-0200-000027050000}"/>
    <hyperlink ref="F968" r:id="rId1321" xr:uid="{00000000-0004-0000-0200-000028050000}"/>
    <hyperlink ref="G968" r:id="rId1322" xr:uid="{00000000-0004-0000-0200-000029050000}"/>
    <hyperlink ref="S968" r:id="rId1323" xr:uid="{00000000-0004-0000-0200-00002A050000}"/>
    <hyperlink ref="G969" r:id="rId1324" xr:uid="{00000000-0004-0000-0200-00002B050000}"/>
    <hyperlink ref="F970" r:id="rId1325" xr:uid="{00000000-0004-0000-0200-00002C050000}"/>
    <hyperlink ref="G970" r:id="rId1326" xr:uid="{00000000-0004-0000-0200-00002D050000}"/>
    <hyperlink ref="F972" r:id="rId1327" xr:uid="{00000000-0004-0000-0200-00002E050000}"/>
    <hyperlink ref="F973" r:id="rId1328" xr:uid="{00000000-0004-0000-0200-00002F050000}"/>
    <hyperlink ref="G973" r:id="rId1329" xr:uid="{00000000-0004-0000-0200-000030050000}"/>
    <hyperlink ref="S973" r:id="rId1330" xr:uid="{00000000-0004-0000-0200-000031050000}"/>
    <hyperlink ref="F974" r:id="rId1331" xr:uid="{00000000-0004-0000-0200-000032050000}"/>
    <hyperlink ref="G974" r:id="rId1332" xr:uid="{00000000-0004-0000-0200-000033050000}"/>
    <hyperlink ref="F975" r:id="rId1333" xr:uid="{00000000-0004-0000-0200-000034050000}"/>
    <hyperlink ref="G975" r:id="rId1334" xr:uid="{00000000-0004-0000-0200-000035050000}"/>
    <hyperlink ref="S975" r:id="rId1335" xr:uid="{00000000-0004-0000-0200-000036050000}"/>
    <hyperlink ref="F976" r:id="rId1336" xr:uid="{00000000-0004-0000-0200-000037050000}"/>
    <hyperlink ref="S976" r:id="rId1337" xr:uid="{00000000-0004-0000-0200-000038050000}"/>
    <hyperlink ref="F978" r:id="rId1338" xr:uid="{00000000-0004-0000-0200-000039050000}"/>
    <hyperlink ref="F979" r:id="rId1339" xr:uid="{00000000-0004-0000-0200-00003A050000}"/>
    <hyperlink ref="G979" r:id="rId1340" xr:uid="{00000000-0004-0000-0200-00003B050000}"/>
    <hyperlink ref="S979" r:id="rId1341" xr:uid="{00000000-0004-0000-0200-00003C050000}"/>
    <hyperlink ref="F980" r:id="rId1342" xr:uid="{00000000-0004-0000-0200-00003D050000}"/>
    <hyperlink ref="F981" r:id="rId1343" xr:uid="{00000000-0004-0000-0200-00003E050000}"/>
    <hyperlink ref="G981" r:id="rId1344" xr:uid="{00000000-0004-0000-0200-00003F050000}"/>
    <hyperlink ref="S981" r:id="rId1345" xr:uid="{00000000-0004-0000-0200-000040050000}"/>
    <hyperlink ref="S982" r:id="rId1346" xr:uid="{00000000-0004-0000-0200-000041050000}"/>
    <hyperlink ref="F983" r:id="rId1347" xr:uid="{00000000-0004-0000-0200-000042050000}"/>
    <hyperlink ref="S984" r:id="rId1348" xr:uid="{00000000-0004-0000-0200-000043050000}"/>
    <hyperlink ref="F985" r:id="rId1349" xr:uid="{00000000-0004-0000-0200-000044050000}"/>
    <hyperlink ref="S985" r:id="rId1350" xr:uid="{00000000-0004-0000-0200-000045050000}"/>
    <hyperlink ref="F986" r:id="rId1351" xr:uid="{00000000-0004-0000-0200-000046050000}"/>
    <hyperlink ref="G986" r:id="rId1352" xr:uid="{00000000-0004-0000-0200-000047050000}"/>
    <hyperlink ref="S986" r:id="rId1353" xr:uid="{00000000-0004-0000-0200-000048050000}"/>
    <hyperlink ref="F988" r:id="rId1354" xr:uid="{00000000-0004-0000-0200-000049050000}"/>
    <hyperlink ref="S988" r:id="rId1355" xr:uid="{00000000-0004-0000-0200-00004A050000}"/>
    <hyperlink ref="F989" r:id="rId1356" xr:uid="{00000000-0004-0000-0200-00004B050000}"/>
    <hyperlink ref="S990" r:id="rId1357" xr:uid="{00000000-0004-0000-0200-00004C050000}"/>
    <hyperlink ref="F991" r:id="rId1358" xr:uid="{00000000-0004-0000-0200-00004D050000}"/>
    <hyperlink ref="S991" r:id="rId1359" xr:uid="{00000000-0004-0000-0200-00004E050000}"/>
    <hyperlink ref="F993" r:id="rId1360" xr:uid="{00000000-0004-0000-0200-00004F050000}"/>
    <hyperlink ref="F994" r:id="rId1361" xr:uid="{00000000-0004-0000-0200-000050050000}"/>
    <hyperlink ref="S994" r:id="rId1362" xr:uid="{00000000-0004-0000-0200-000051050000}"/>
    <hyperlink ref="G997" r:id="rId1363" xr:uid="{00000000-0004-0000-0200-000052050000}"/>
    <hyperlink ref="F998" r:id="rId1364" xr:uid="{00000000-0004-0000-0200-000053050000}"/>
    <hyperlink ref="G998" r:id="rId1365" xr:uid="{00000000-0004-0000-0200-000054050000}"/>
    <hyperlink ref="S1000" r:id="rId1366" xr:uid="{00000000-0004-0000-0200-000055050000}"/>
    <hyperlink ref="F1005" r:id="rId1367" xr:uid="{00000000-0004-0000-0200-000056050000}"/>
    <hyperlink ref="S1005" r:id="rId1368" xr:uid="{00000000-0004-0000-0200-000057050000}"/>
    <hyperlink ref="F1006" r:id="rId1369" xr:uid="{00000000-0004-0000-0200-000058050000}"/>
    <hyperlink ref="S1007" r:id="rId1370" xr:uid="{00000000-0004-0000-0200-000059050000}"/>
    <hyperlink ref="G1008" r:id="rId1371" xr:uid="{00000000-0004-0000-0200-00005A050000}"/>
    <hyperlink ref="S1009" r:id="rId1372" xr:uid="{00000000-0004-0000-0200-00005B050000}"/>
    <hyperlink ref="S1010" r:id="rId1373" xr:uid="{00000000-0004-0000-0200-00005C050000}"/>
    <hyperlink ref="G1011" r:id="rId1374" xr:uid="{00000000-0004-0000-0200-00005D050000}"/>
    <hyperlink ref="S1011" r:id="rId1375" xr:uid="{00000000-0004-0000-0200-00005E050000}"/>
    <hyperlink ref="G1014" r:id="rId1376" xr:uid="{00000000-0004-0000-0200-00005F050000}"/>
    <hyperlink ref="S1017" r:id="rId1377" xr:uid="{00000000-0004-0000-0200-000060050000}"/>
    <hyperlink ref="F1019" r:id="rId1378" xr:uid="{00000000-0004-0000-0200-000061050000}"/>
    <hyperlink ref="S1019" r:id="rId1379" xr:uid="{00000000-0004-0000-0200-000062050000}"/>
    <hyperlink ref="F1020" r:id="rId1380" xr:uid="{00000000-0004-0000-0200-000063050000}"/>
    <hyperlink ref="G1020" r:id="rId1381" xr:uid="{00000000-0004-0000-0200-000064050000}"/>
    <hyperlink ref="F1021" r:id="rId1382" xr:uid="{00000000-0004-0000-0200-000065050000}"/>
    <hyperlink ref="F1022" r:id="rId1383" xr:uid="{00000000-0004-0000-0200-000066050000}"/>
    <hyperlink ref="F1024" r:id="rId1384" xr:uid="{00000000-0004-0000-0200-000067050000}"/>
    <hyperlink ref="S1024" r:id="rId1385" xr:uid="{00000000-0004-0000-0200-000068050000}"/>
    <hyperlink ref="F1025" r:id="rId1386" xr:uid="{00000000-0004-0000-0200-000069050000}"/>
    <hyperlink ref="S1025" r:id="rId1387" xr:uid="{00000000-0004-0000-0200-00006A050000}"/>
    <hyperlink ref="G1030" r:id="rId1388" xr:uid="{00000000-0004-0000-0200-00006B050000}"/>
    <hyperlink ref="F1031" r:id="rId1389" xr:uid="{00000000-0004-0000-0200-00006C050000}"/>
    <hyperlink ref="G1031" r:id="rId1390" xr:uid="{00000000-0004-0000-0200-00006D050000}"/>
    <hyperlink ref="S1031" r:id="rId1391" xr:uid="{00000000-0004-0000-0200-00006E050000}"/>
    <hyperlink ref="F1034" r:id="rId1392" xr:uid="{00000000-0004-0000-0200-00006F050000}"/>
    <hyperlink ref="S1035" r:id="rId1393" xr:uid="{00000000-0004-0000-0200-000070050000}"/>
    <hyperlink ref="F1036" r:id="rId1394" xr:uid="{00000000-0004-0000-0200-000071050000}"/>
    <hyperlink ref="S1036" r:id="rId1395" xr:uid="{00000000-0004-0000-0200-000072050000}"/>
    <hyperlink ref="F1039" r:id="rId1396" xr:uid="{00000000-0004-0000-0200-000073050000}"/>
    <hyperlink ref="F1040" r:id="rId1397" xr:uid="{00000000-0004-0000-0200-000074050000}"/>
    <hyperlink ref="G1040" r:id="rId1398" xr:uid="{00000000-0004-0000-0200-000075050000}"/>
    <hyperlink ref="S1040" r:id="rId1399" xr:uid="{00000000-0004-0000-0200-000076050000}"/>
    <hyperlink ref="F1041" r:id="rId1400" xr:uid="{00000000-0004-0000-0200-000077050000}"/>
    <hyperlink ref="S1041" r:id="rId1401" xr:uid="{00000000-0004-0000-0200-000078050000}"/>
    <hyperlink ref="F1043" r:id="rId1402" xr:uid="{00000000-0004-0000-0200-000079050000}"/>
    <hyperlink ref="S1043" r:id="rId1403" xr:uid="{00000000-0004-0000-0200-00007A050000}"/>
    <hyperlink ref="F1044" r:id="rId1404" xr:uid="{00000000-0004-0000-0200-00007B050000}"/>
    <hyperlink ref="S1044" r:id="rId1405" xr:uid="{00000000-0004-0000-0200-00007C050000}"/>
    <hyperlink ref="F1045" r:id="rId1406" xr:uid="{00000000-0004-0000-0200-00007D050000}"/>
    <hyperlink ref="G1045" r:id="rId1407" xr:uid="{00000000-0004-0000-0200-00007E050000}"/>
    <hyperlink ref="F1047" r:id="rId1408" xr:uid="{00000000-0004-0000-0200-00007F050000}"/>
    <hyperlink ref="G1047" r:id="rId1409" xr:uid="{00000000-0004-0000-0200-000080050000}"/>
    <hyperlink ref="F1048" r:id="rId1410" xr:uid="{00000000-0004-0000-0200-000081050000}"/>
    <hyperlink ref="G1048" r:id="rId1411" xr:uid="{00000000-0004-0000-0200-000082050000}"/>
    <hyperlink ref="S1048" r:id="rId1412" xr:uid="{00000000-0004-0000-0200-000083050000}"/>
    <hyperlink ref="G1049" r:id="rId1413" xr:uid="{00000000-0004-0000-0200-000084050000}"/>
    <hyperlink ref="F1050" r:id="rId1414" xr:uid="{00000000-0004-0000-0200-000085050000}"/>
    <hyperlink ref="G1050" r:id="rId1415" xr:uid="{00000000-0004-0000-0200-000086050000}"/>
    <hyperlink ref="S1050" r:id="rId1416" xr:uid="{00000000-0004-0000-0200-000087050000}"/>
    <hyperlink ref="F1051" r:id="rId1417" xr:uid="{00000000-0004-0000-0200-000088050000}"/>
    <hyperlink ref="S1051" r:id="rId1418" xr:uid="{00000000-0004-0000-0200-000089050000}"/>
    <hyperlink ref="S1052" r:id="rId1419" xr:uid="{00000000-0004-0000-0200-00008A050000}"/>
    <hyperlink ref="F1053" r:id="rId1420" xr:uid="{00000000-0004-0000-0200-00008B050000}"/>
    <hyperlink ref="S1053" r:id="rId1421" xr:uid="{00000000-0004-0000-0200-00008C050000}"/>
    <hyperlink ref="F1054" r:id="rId1422" xr:uid="{00000000-0004-0000-0200-00008D050000}"/>
    <hyperlink ref="F1055" r:id="rId1423" xr:uid="{00000000-0004-0000-0200-00008E050000}"/>
    <hyperlink ref="F1056" r:id="rId1424" xr:uid="{00000000-0004-0000-0200-00008F050000}"/>
    <hyperlink ref="S1057" r:id="rId1425" xr:uid="{00000000-0004-0000-0200-000090050000}"/>
    <hyperlink ref="F1058" r:id="rId1426" xr:uid="{00000000-0004-0000-0200-000091050000}"/>
    <hyperlink ref="F1059" r:id="rId1427" xr:uid="{00000000-0004-0000-0200-000092050000}"/>
    <hyperlink ref="G1059" r:id="rId1428" xr:uid="{00000000-0004-0000-0200-000093050000}"/>
    <hyperlink ref="S1059" r:id="rId1429" xr:uid="{00000000-0004-0000-0200-000094050000}"/>
    <hyperlink ref="F1060" r:id="rId1430" xr:uid="{00000000-0004-0000-0200-000095050000}"/>
    <hyperlink ref="S1060" r:id="rId1431" xr:uid="{00000000-0004-0000-0200-000096050000}"/>
    <hyperlink ref="F1061" r:id="rId1432" xr:uid="{00000000-0004-0000-0200-000097050000}"/>
    <hyperlink ref="G1061" r:id="rId1433" xr:uid="{00000000-0004-0000-0200-000098050000}"/>
    <hyperlink ref="F1064" r:id="rId1434" xr:uid="{00000000-0004-0000-0200-000099050000}"/>
    <hyperlink ref="G1064" r:id="rId1435" xr:uid="{00000000-0004-0000-0200-00009A050000}"/>
    <hyperlink ref="S1064" r:id="rId1436" xr:uid="{00000000-0004-0000-0200-00009B050000}"/>
    <hyperlink ref="F1065" r:id="rId1437" location="Echobox=1543946706" xr:uid="{00000000-0004-0000-0200-00009C050000}"/>
    <hyperlink ref="S1065" r:id="rId1438" xr:uid="{00000000-0004-0000-0200-00009D050000}"/>
    <hyperlink ref="G1067" r:id="rId1439" xr:uid="{00000000-0004-0000-0200-00009E050000}"/>
    <hyperlink ref="S1068" r:id="rId1440" xr:uid="{00000000-0004-0000-0200-00009F050000}"/>
    <hyperlink ref="F1069" r:id="rId1441" xr:uid="{00000000-0004-0000-0200-0000A0050000}"/>
    <hyperlink ref="G1069" r:id="rId1442" xr:uid="{00000000-0004-0000-0200-0000A1050000}"/>
    <hyperlink ref="F1070" r:id="rId1443" xr:uid="{00000000-0004-0000-0200-0000A2050000}"/>
    <hyperlink ref="S1070" r:id="rId1444" xr:uid="{00000000-0004-0000-0200-0000A3050000}"/>
    <hyperlink ref="S1071" r:id="rId1445" xr:uid="{00000000-0004-0000-0200-0000A4050000}"/>
    <hyperlink ref="F1072" r:id="rId1446" xr:uid="{00000000-0004-0000-0200-0000A5050000}"/>
    <hyperlink ref="G1072" r:id="rId1447" xr:uid="{00000000-0004-0000-0200-0000A6050000}"/>
    <hyperlink ref="F1075" r:id="rId1448" xr:uid="{00000000-0004-0000-0200-0000A7050000}"/>
    <hyperlink ref="G1075" r:id="rId1449" xr:uid="{00000000-0004-0000-0200-0000A8050000}"/>
    <hyperlink ref="F1076" r:id="rId1450" xr:uid="{00000000-0004-0000-0200-0000A9050000}"/>
    <hyperlink ref="G1076" r:id="rId1451" xr:uid="{00000000-0004-0000-0200-0000AA050000}"/>
    <hyperlink ref="F1077" r:id="rId1452" xr:uid="{00000000-0004-0000-0200-0000AB050000}"/>
    <hyperlink ref="G1077" r:id="rId1453" xr:uid="{00000000-0004-0000-0200-0000AC050000}"/>
    <hyperlink ref="F1078" r:id="rId1454" xr:uid="{00000000-0004-0000-0200-0000AD050000}"/>
    <hyperlink ref="G1080" r:id="rId1455" xr:uid="{00000000-0004-0000-0200-0000AE050000}"/>
    <hyperlink ref="F1081" r:id="rId1456" xr:uid="{00000000-0004-0000-0200-0000AF050000}"/>
    <hyperlink ref="S1081" r:id="rId1457" xr:uid="{00000000-0004-0000-0200-0000B0050000}"/>
    <hyperlink ref="F1082" r:id="rId1458" xr:uid="{00000000-0004-0000-0200-0000B1050000}"/>
    <hyperlink ref="F1083" r:id="rId1459" xr:uid="{00000000-0004-0000-0200-0000B2050000}"/>
    <hyperlink ref="F1084" r:id="rId1460" xr:uid="{00000000-0004-0000-0200-0000B3050000}"/>
    <hyperlink ref="F1085" r:id="rId1461" xr:uid="{00000000-0004-0000-0200-0000B4050000}"/>
    <hyperlink ref="G1085" r:id="rId1462" xr:uid="{00000000-0004-0000-0200-0000B5050000}"/>
    <hyperlink ref="S1085" r:id="rId1463" xr:uid="{00000000-0004-0000-0200-0000B6050000}"/>
    <hyperlink ref="F1086" r:id="rId1464" xr:uid="{00000000-0004-0000-0200-0000B7050000}"/>
    <hyperlink ref="S1086" r:id="rId1465" xr:uid="{00000000-0004-0000-0200-0000B8050000}"/>
    <hyperlink ref="F1087" r:id="rId1466" xr:uid="{00000000-0004-0000-0200-0000B9050000}"/>
    <hyperlink ref="G1087" r:id="rId1467" xr:uid="{00000000-0004-0000-0200-0000BA050000}"/>
    <hyperlink ref="S1087" r:id="rId1468" xr:uid="{00000000-0004-0000-0200-0000BB050000}"/>
    <hyperlink ref="F1088" r:id="rId1469" xr:uid="{00000000-0004-0000-0200-0000BC050000}"/>
    <hyperlink ref="G1088" r:id="rId1470" xr:uid="{00000000-0004-0000-0200-0000BD050000}"/>
    <hyperlink ref="F1089" r:id="rId1471" xr:uid="{00000000-0004-0000-0200-0000BE050000}"/>
    <hyperlink ref="F1090" r:id="rId1472" xr:uid="{00000000-0004-0000-0200-0000BF050000}"/>
    <hyperlink ref="G1090" r:id="rId1473" xr:uid="{00000000-0004-0000-0200-0000C0050000}"/>
    <hyperlink ref="F1091" r:id="rId1474" xr:uid="{00000000-0004-0000-0200-0000C1050000}"/>
    <hyperlink ref="F1092" r:id="rId1475" xr:uid="{00000000-0004-0000-0200-0000C2050000}"/>
    <hyperlink ref="F1094" r:id="rId1476" xr:uid="{00000000-0004-0000-0200-0000C3050000}"/>
    <hyperlink ref="G1094" r:id="rId1477" xr:uid="{00000000-0004-0000-0200-0000C4050000}"/>
    <hyperlink ref="S1094" r:id="rId1478" xr:uid="{00000000-0004-0000-0200-0000C5050000}"/>
    <hyperlink ref="F1095" r:id="rId1479" xr:uid="{00000000-0004-0000-0200-0000C6050000}"/>
    <hyperlink ref="S1095" r:id="rId1480" xr:uid="{00000000-0004-0000-0200-0000C7050000}"/>
    <hyperlink ref="F1096" r:id="rId1481" xr:uid="{00000000-0004-0000-0200-0000C8050000}"/>
    <hyperlink ref="S1096" r:id="rId1482" xr:uid="{00000000-0004-0000-0200-0000C9050000}"/>
    <hyperlink ref="F1097" r:id="rId1483" xr:uid="{00000000-0004-0000-0200-0000CA050000}"/>
    <hyperlink ref="S1097" r:id="rId1484" xr:uid="{00000000-0004-0000-0200-0000CB050000}"/>
    <hyperlink ref="F1098" r:id="rId1485" xr:uid="{00000000-0004-0000-0200-0000CC050000}"/>
    <hyperlink ref="S1098" r:id="rId1486" xr:uid="{00000000-0004-0000-0200-0000CD050000}"/>
    <hyperlink ref="F1099" r:id="rId1487" xr:uid="{00000000-0004-0000-0200-0000CE050000}"/>
    <hyperlink ref="S1099" r:id="rId1488" xr:uid="{00000000-0004-0000-0200-0000CF050000}"/>
    <hyperlink ref="F1100" r:id="rId1489" xr:uid="{00000000-0004-0000-0200-0000D0050000}"/>
    <hyperlink ref="F1101" r:id="rId1490" xr:uid="{00000000-0004-0000-0200-0000D1050000}"/>
    <hyperlink ref="F1102" r:id="rId1491" xr:uid="{00000000-0004-0000-0200-0000D2050000}"/>
    <hyperlink ref="S1102" r:id="rId1492" xr:uid="{00000000-0004-0000-0200-0000D3050000}"/>
    <hyperlink ref="F1104" r:id="rId1493" xr:uid="{00000000-0004-0000-0200-0000D4050000}"/>
    <hyperlink ref="F1106" r:id="rId1494" xr:uid="{00000000-0004-0000-0200-0000D5050000}"/>
    <hyperlink ref="G1106" r:id="rId1495" xr:uid="{00000000-0004-0000-0200-0000D6050000}"/>
    <hyperlink ref="S1106" r:id="rId1496" xr:uid="{00000000-0004-0000-0200-0000D7050000}"/>
    <hyperlink ref="S1107" r:id="rId1497" xr:uid="{00000000-0004-0000-0200-0000D8050000}"/>
    <hyperlink ref="S1108" r:id="rId1498" xr:uid="{00000000-0004-0000-0200-0000D9050000}"/>
    <hyperlink ref="S1110" r:id="rId1499" xr:uid="{00000000-0004-0000-0200-0000DA050000}"/>
    <hyperlink ref="F1111" r:id="rId1500" xr:uid="{00000000-0004-0000-0200-0000DB050000}"/>
    <hyperlink ref="S1114" r:id="rId1501" xr:uid="{00000000-0004-0000-0200-0000DC050000}"/>
    <hyperlink ref="C1115" r:id="rId1502" xr:uid="{00000000-0004-0000-0200-0000DD050000}"/>
    <hyperlink ref="F1115" r:id="rId1503" location=".XAak8dj0riU.twitter" xr:uid="{00000000-0004-0000-0200-0000DE050000}"/>
    <hyperlink ref="S1115" r:id="rId1504" xr:uid="{00000000-0004-0000-0200-0000DF050000}"/>
    <hyperlink ref="F1116" r:id="rId1505" xr:uid="{00000000-0004-0000-0200-0000E0050000}"/>
    <hyperlink ref="S1116" r:id="rId1506" xr:uid="{00000000-0004-0000-0200-0000E1050000}"/>
    <hyperlink ref="F1117" r:id="rId1507" xr:uid="{00000000-0004-0000-0200-0000E2050000}"/>
    <hyperlink ref="F1119" r:id="rId1508" xr:uid="{00000000-0004-0000-0200-0000E3050000}"/>
    <hyperlink ref="F1120" r:id="rId1509" xr:uid="{00000000-0004-0000-0200-0000E4050000}"/>
    <hyperlink ref="S1120" r:id="rId1510" xr:uid="{00000000-0004-0000-0200-0000E5050000}"/>
    <hyperlink ref="G1122" r:id="rId1511" xr:uid="{00000000-0004-0000-0200-0000E6050000}"/>
    <hyperlink ref="F1123" r:id="rId1512" xr:uid="{00000000-0004-0000-0200-0000E7050000}"/>
    <hyperlink ref="F1124" r:id="rId1513" xr:uid="{00000000-0004-0000-0200-0000E8050000}"/>
    <hyperlink ref="S1124" r:id="rId1514" xr:uid="{00000000-0004-0000-0200-0000E9050000}"/>
    <hyperlink ref="F1126" r:id="rId1515" xr:uid="{00000000-0004-0000-0200-0000EA050000}"/>
    <hyperlink ref="S1126" r:id="rId1516" xr:uid="{00000000-0004-0000-0200-0000EB050000}"/>
    <hyperlink ref="G1127" r:id="rId1517" xr:uid="{00000000-0004-0000-0200-0000EC050000}"/>
    <hyperlink ref="F1128" r:id="rId1518" xr:uid="{00000000-0004-0000-0200-0000ED050000}"/>
    <hyperlink ref="S1128" r:id="rId1519" xr:uid="{00000000-0004-0000-0200-0000EE050000}"/>
    <hyperlink ref="F1129" r:id="rId1520" xr:uid="{00000000-0004-0000-0200-0000EF050000}"/>
    <hyperlink ref="G1129" r:id="rId1521" xr:uid="{00000000-0004-0000-0200-0000F0050000}"/>
    <hyperlink ref="S1129" r:id="rId1522" xr:uid="{00000000-0004-0000-0200-0000F1050000}"/>
    <hyperlink ref="F1131" r:id="rId1523" xr:uid="{00000000-0004-0000-0200-0000F2050000}"/>
    <hyperlink ref="S1131" r:id="rId1524" xr:uid="{00000000-0004-0000-0200-0000F3050000}"/>
    <hyperlink ref="G1132" r:id="rId1525" xr:uid="{00000000-0004-0000-0200-0000F4050000}"/>
    <hyperlink ref="F1133" r:id="rId1526" xr:uid="{00000000-0004-0000-0200-0000F5050000}"/>
    <hyperlink ref="S1135" r:id="rId1527" xr:uid="{00000000-0004-0000-0200-0000F6050000}"/>
    <hyperlink ref="F1137" r:id="rId1528" xr:uid="{00000000-0004-0000-0200-0000F7050000}"/>
    <hyperlink ref="G1137" r:id="rId1529" xr:uid="{00000000-0004-0000-0200-0000F8050000}"/>
    <hyperlink ref="S1138" r:id="rId1530" xr:uid="{00000000-0004-0000-0200-0000F9050000}"/>
    <hyperlink ref="S1139" r:id="rId1531" xr:uid="{00000000-0004-0000-0200-0000FA050000}"/>
    <hyperlink ref="F1140" r:id="rId1532" xr:uid="{00000000-0004-0000-0200-0000FB050000}"/>
    <hyperlink ref="F1141" r:id="rId1533" xr:uid="{00000000-0004-0000-0200-0000FC050000}"/>
    <hyperlink ref="F1144" r:id="rId1534" xr:uid="{00000000-0004-0000-0200-0000FD050000}"/>
    <hyperlink ref="F1145" r:id="rId1535" xr:uid="{00000000-0004-0000-0200-0000FE050000}"/>
    <hyperlink ref="G1145" r:id="rId1536" xr:uid="{00000000-0004-0000-0200-0000FF050000}"/>
    <hyperlink ref="S1145" r:id="rId1537" xr:uid="{00000000-0004-0000-0200-000000060000}"/>
    <hyperlink ref="F1148" r:id="rId1538" xr:uid="{00000000-0004-0000-0200-000001060000}"/>
    <hyperlink ref="S1148" r:id="rId1539" xr:uid="{00000000-0004-0000-0200-000002060000}"/>
    <hyperlink ref="G1149" r:id="rId1540" xr:uid="{00000000-0004-0000-0200-000003060000}"/>
    <hyperlink ref="S1151" r:id="rId1541" xr:uid="{00000000-0004-0000-0200-000004060000}"/>
    <hyperlink ref="F1152" r:id="rId1542" xr:uid="{00000000-0004-0000-0200-000005060000}"/>
    <hyperlink ref="S1152" r:id="rId1543" xr:uid="{00000000-0004-0000-0200-000006060000}"/>
    <hyperlink ref="G1153" r:id="rId1544" xr:uid="{00000000-0004-0000-0200-000007060000}"/>
    <hyperlink ref="F1154" r:id="rId1545" xr:uid="{00000000-0004-0000-0200-000008060000}"/>
    <hyperlink ref="S1154" r:id="rId1546" xr:uid="{00000000-0004-0000-0200-000009060000}"/>
    <hyperlink ref="F1155" r:id="rId1547" xr:uid="{00000000-0004-0000-0200-00000A060000}"/>
    <hyperlink ref="G1155" r:id="rId1548" xr:uid="{00000000-0004-0000-0200-00000B060000}"/>
    <hyperlink ref="F1156" r:id="rId1549" xr:uid="{00000000-0004-0000-0200-00000C060000}"/>
    <hyperlink ref="F1157" r:id="rId1550" xr:uid="{00000000-0004-0000-0200-00000D060000}"/>
    <hyperlink ref="S1157" r:id="rId1551" xr:uid="{00000000-0004-0000-0200-00000E060000}"/>
    <hyperlink ref="F1158" r:id="rId1552" xr:uid="{00000000-0004-0000-0200-00000F060000}"/>
    <hyperlink ref="F1159" r:id="rId1553" xr:uid="{00000000-0004-0000-0200-000010060000}"/>
    <hyperlink ref="S1159" r:id="rId1554" xr:uid="{00000000-0004-0000-0200-000011060000}"/>
    <hyperlink ref="F1160" r:id="rId1555" xr:uid="{00000000-0004-0000-0200-000012060000}"/>
    <hyperlink ref="F1161" r:id="rId1556" xr:uid="{00000000-0004-0000-0200-000013060000}"/>
    <hyperlink ref="F1162" r:id="rId1557" xr:uid="{00000000-0004-0000-0200-000014060000}"/>
    <hyperlink ref="G1163" r:id="rId1558" xr:uid="{00000000-0004-0000-0200-000015060000}"/>
    <hyperlink ref="F1164" r:id="rId1559" xr:uid="{00000000-0004-0000-0200-000016060000}"/>
    <hyperlink ref="S1164" r:id="rId1560" xr:uid="{00000000-0004-0000-0200-000017060000}"/>
    <hyperlink ref="S1165" r:id="rId1561" xr:uid="{00000000-0004-0000-0200-000018060000}"/>
    <hyperlink ref="F1166" r:id="rId1562" xr:uid="{00000000-0004-0000-0200-000019060000}"/>
    <hyperlink ref="S1166" r:id="rId1563" xr:uid="{00000000-0004-0000-0200-00001A060000}"/>
    <hyperlink ref="F1167" r:id="rId1564" xr:uid="{00000000-0004-0000-0200-00001B060000}"/>
    <hyperlink ref="S1167" r:id="rId1565" xr:uid="{00000000-0004-0000-0200-00001C060000}"/>
    <hyperlink ref="F1173" r:id="rId1566" xr:uid="{00000000-0004-0000-0200-00001D060000}"/>
    <hyperlink ref="S1173" r:id="rId1567" xr:uid="{00000000-0004-0000-0200-00001E060000}"/>
    <hyperlink ref="F1175" r:id="rId1568" xr:uid="{00000000-0004-0000-0200-00001F060000}"/>
    <hyperlink ref="S1175" r:id="rId1569" xr:uid="{00000000-0004-0000-0200-000020060000}"/>
    <hyperlink ref="F1180" r:id="rId1570" xr:uid="{00000000-0004-0000-0200-000021060000}"/>
    <hyperlink ref="G1180" r:id="rId1571" xr:uid="{00000000-0004-0000-0200-000022060000}"/>
    <hyperlink ref="S1180" r:id="rId1572" xr:uid="{00000000-0004-0000-0200-000023060000}"/>
    <hyperlink ref="G1182" r:id="rId1573" xr:uid="{00000000-0004-0000-0200-000024060000}"/>
    <hyperlink ref="F1183" r:id="rId1574" xr:uid="{00000000-0004-0000-0200-000025060000}"/>
    <hyperlink ref="S1183" r:id="rId1575" xr:uid="{00000000-0004-0000-0200-000026060000}"/>
    <hyperlink ref="S1184" r:id="rId1576" xr:uid="{00000000-0004-0000-0200-000027060000}"/>
    <hyperlink ref="F1185" r:id="rId1577" xr:uid="{00000000-0004-0000-0200-000028060000}"/>
    <hyperlink ref="S1185" r:id="rId1578" xr:uid="{00000000-0004-0000-0200-000029060000}"/>
    <hyperlink ref="S1186" r:id="rId1579" xr:uid="{00000000-0004-0000-0200-00002A060000}"/>
    <hyperlink ref="F1187" r:id="rId1580" xr:uid="{00000000-0004-0000-0200-00002B060000}"/>
    <hyperlink ref="S1187" r:id="rId1581" xr:uid="{00000000-0004-0000-0200-00002C060000}"/>
    <hyperlink ref="F1189" r:id="rId1582" xr:uid="{00000000-0004-0000-0200-00002D060000}"/>
    <hyperlink ref="S1189" r:id="rId1583" xr:uid="{00000000-0004-0000-0200-00002E060000}"/>
    <hyperlink ref="F1190" r:id="rId1584" xr:uid="{00000000-0004-0000-0200-00002F060000}"/>
    <hyperlink ref="G1191" r:id="rId1585" xr:uid="{00000000-0004-0000-0200-000030060000}"/>
    <hyperlink ref="S1191" r:id="rId1586" xr:uid="{00000000-0004-0000-0200-000031060000}"/>
    <hyperlink ref="G1192" r:id="rId1587" xr:uid="{00000000-0004-0000-0200-000032060000}"/>
    <hyperlink ref="S1192" r:id="rId1588" xr:uid="{00000000-0004-0000-0200-000033060000}"/>
    <hyperlink ref="F1193" r:id="rId1589" xr:uid="{00000000-0004-0000-0200-000034060000}"/>
    <hyperlink ref="F1194" r:id="rId1590" xr:uid="{00000000-0004-0000-0200-000035060000}"/>
    <hyperlink ref="S1194" r:id="rId1591" xr:uid="{00000000-0004-0000-0200-000036060000}"/>
    <hyperlink ref="S1195" r:id="rId1592" xr:uid="{00000000-0004-0000-0200-000037060000}"/>
    <hyperlink ref="G1196" r:id="rId1593" xr:uid="{00000000-0004-0000-0200-000038060000}"/>
    <hyperlink ref="F1197" r:id="rId1594" xr:uid="{00000000-0004-0000-0200-000039060000}"/>
    <hyperlink ref="F1198" r:id="rId1595" xr:uid="{00000000-0004-0000-0200-00003A060000}"/>
    <hyperlink ref="S1198" r:id="rId1596" xr:uid="{00000000-0004-0000-0200-00003B060000}"/>
    <hyperlink ref="F1202" r:id="rId1597" xr:uid="{00000000-0004-0000-0200-00003C060000}"/>
    <hyperlink ref="S1202" r:id="rId1598" xr:uid="{00000000-0004-0000-0200-00003D060000}"/>
    <hyperlink ref="F1203" r:id="rId1599" xr:uid="{00000000-0004-0000-0200-00003E060000}"/>
    <hyperlink ref="F1205" r:id="rId1600" xr:uid="{00000000-0004-0000-0200-00003F060000}"/>
    <hyperlink ref="S1205" r:id="rId1601" xr:uid="{00000000-0004-0000-0200-000040060000}"/>
    <hyperlink ref="F1209" r:id="rId1602" xr:uid="{00000000-0004-0000-0200-000041060000}"/>
    <hyperlink ref="S1211" r:id="rId1603" xr:uid="{00000000-0004-0000-0200-000042060000}"/>
    <hyperlink ref="G1213" r:id="rId1604" xr:uid="{00000000-0004-0000-0200-000043060000}"/>
    <hyperlink ref="F1215" r:id="rId1605" xr:uid="{00000000-0004-0000-0200-000044060000}"/>
    <hyperlink ref="S1218" r:id="rId1606" xr:uid="{00000000-0004-0000-0200-000045060000}"/>
    <hyperlink ref="S1225" r:id="rId1607" xr:uid="{00000000-0004-0000-0200-000046060000}"/>
    <hyperlink ref="G1227" r:id="rId1608" xr:uid="{00000000-0004-0000-0200-000047060000}"/>
    <hyperlink ref="S1228" r:id="rId1609" xr:uid="{00000000-0004-0000-0200-000048060000}"/>
    <hyperlink ref="S1229" r:id="rId1610" xr:uid="{00000000-0004-0000-0200-000049060000}"/>
    <hyperlink ref="F1230" r:id="rId1611" xr:uid="{00000000-0004-0000-0200-00004A060000}"/>
    <hyperlink ref="G1232" r:id="rId1612" xr:uid="{00000000-0004-0000-0200-00004B060000}"/>
    <hyperlink ref="G1233" r:id="rId1613" xr:uid="{00000000-0004-0000-0200-00004C060000}"/>
    <hyperlink ref="G1234" r:id="rId1614" xr:uid="{00000000-0004-0000-0200-00004D060000}"/>
    <hyperlink ref="G1235" r:id="rId1615" xr:uid="{00000000-0004-0000-0200-00004E060000}"/>
    <hyperlink ref="S1235" r:id="rId1616" xr:uid="{00000000-0004-0000-0200-00004F060000}"/>
    <hyperlink ref="S1237" r:id="rId1617" xr:uid="{00000000-0004-0000-0200-000050060000}"/>
    <hyperlink ref="F1238" r:id="rId1618" xr:uid="{00000000-0004-0000-0200-000051060000}"/>
    <hyperlink ref="S1238" r:id="rId1619" xr:uid="{00000000-0004-0000-0200-000052060000}"/>
    <hyperlink ref="S1239" r:id="rId1620" xr:uid="{00000000-0004-0000-0200-000053060000}"/>
    <hyperlink ref="F1241" r:id="rId1621" xr:uid="{00000000-0004-0000-0200-000054060000}"/>
    <hyperlink ref="F1243" r:id="rId1622" xr:uid="{00000000-0004-0000-0200-000055060000}"/>
    <hyperlink ref="G1246" r:id="rId1623" xr:uid="{00000000-0004-0000-0200-000056060000}"/>
    <hyperlink ref="S1246" r:id="rId1624" xr:uid="{00000000-0004-0000-0200-000057060000}"/>
    <hyperlink ref="S1247" r:id="rId1625" xr:uid="{00000000-0004-0000-0200-000058060000}"/>
    <hyperlink ref="F1248" r:id="rId1626" xr:uid="{00000000-0004-0000-0200-000059060000}"/>
    <hyperlink ref="F1249" r:id="rId1627" xr:uid="{00000000-0004-0000-0200-00005A060000}"/>
    <hyperlink ref="G1249" r:id="rId1628" xr:uid="{00000000-0004-0000-0200-00005B060000}"/>
    <hyperlink ref="S1249" r:id="rId1629" xr:uid="{00000000-0004-0000-0200-00005C060000}"/>
    <hyperlink ref="S1252" r:id="rId1630" xr:uid="{00000000-0004-0000-0200-00005D060000}"/>
    <hyperlink ref="F1253" r:id="rId1631" xr:uid="{00000000-0004-0000-0200-00005E060000}"/>
    <hyperlink ref="S1253" r:id="rId1632" xr:uid="{00000000-0004-0000-0200-00005F060000}"/>
    <hyperlink ref="F1254" r:id="rId1633" xr:uid="{00000000-0004-0000-0200-000060060000}"/>
    <hyperlink ref="G1254" r:id="rId1634" xr:uid="{00000000-0004-0000-0200-000061060000}"/>
    <hyperlink ref="S1254" r:id="rId1635" xr:uid="{00000000-0004-0000-0200-000062060000}"/>
    <hyperlink ref="F1255" r:id="rId1636" xr:uid="{00000000-0004-0000-0200-000063060000}"/>
    <hyperlink ref="F1256" r:id="rId1637" xr:uid="{00000000-0004-0000-0200-000064060000}"/>
    <hyperlink ref="G1256" r:id="rId1638" xr:uid="{00000000-0004-0000-0200-000065060000}"/>
    <hyperlink ref="F1257" r:id="rId1639" xr:uid="{00000000-0004-0000-0200-000066060000}"/>
    <hyperlink ref="F1258" r:id="rId1640" xr:uid="{00000000-0004-0000-0200-000067060000}"/>
    <hyperlink ref="F1259" r:id="rId1641" xr:uid="{00000000-0004-0000-0200-000068060000}"/>
    <hyperlink ref="S1259" r:id="rId1642" xr:uid="{00000000-0004-0000-0200-000069060000}"/>
    <hyperlink ref="F1260" r:id="rId1643" xr:uid="{00000000-0004-0000-0200-00006A060000}"/>
    <hyperlink ref="S1260" r:id="rId1644" xr:uid="{00000000-0004-0000-0200-00006B060000}"/>
    <hyperlink ref="F1261" r:id="rId1645" xr:uid="{00000000-0004-0000-0200-00006C060000}"/>
    <hyperlink ref="S1261" r:id="rId1646" xr:uid="{00000000-0004-0000-0200-00006D060000}"/>
    <hyperlink ref="F1262" r:id="rId1647" xr:uid="{00000000-0004-0000-0200-00006E060000}"/>
    <hyperlink ref="S1262" r:id="rId1648" xr:uid="{00000000-0004-0000-0200-00006F060000}"/>
    <hyperlink ref="F1263" r:id="rId1649" xr:uid="{00000000-0004-0000-0200-000070060000}"/>
    <hyperlink ref="S1265" r:id="rId1650" xr:uid="{00000000-0004-0000-0200-000071060000}"/>
    <hyperlink ref="F1266" r:id="rId1651" location="?ref=rss&amp;format=simple&amp;link=link" xr:uid="{00000000-0004-0000-0200-000072060000}"/>
    <hyperlink ref="S1266" r:id="rId1652" xr:uid="{00000000-0004-0000-0200-000073060000}"/>
    <hyperlink ref="F1268" r:id="rId1653" xr:uid="{00000000-0004-0000-0200-000074060000}"/>
    <hyperlink ref="G1268" r:id="rId1654" xr:uid="{00000000-0004-0000-0200-000075060000}"/>
    <hyperlink ref="F1269" r:id="rId1655" xr:uid="{00000000-0004-0000-0200-000076060000}"/>
    <hyperlink ref="G1270" r:id="rId1656" xr:uid="{00000000-0004-0000-0200-000077060000}"/>
    <hyperlink ref="F1272" r:id="rId1657" xr:uid="{00000000-0004-0000-0200-000078060000}"/>
    <hyperlink ref="S1274" r:id="rId1658" xr:uid="{00000000-0004-0000-0200-000079060000}"/>
    <hyperlink ref="F1275" r:id="rId1659" xr:uid="{00000000-0004-0000-0200-00007A060000}"/>
    <hyperlink ref="S1275" r:id="rId1660" xr:uid="{00000000-0004-0000-0200-00007B060000}"/>
    <hyperlink ref="F1276" r:id="rId1661" xr:uid="{00000000-0004-0000-0200-00007C060000}"/>
    <hyperlink ref="F1277" r:id="rId1662" xr:uid="{00000000-0004-0000-0200-00007D060000}"/>
    <hyperlink ref="S1277" r:id="rId1663" xr:uid="{00000000-0004-0000-0200-00007E060000}"/>
    <hyperlink ref="F1278" r:id="rId1664" xr:uid="{00000000-0004-0000-0200-00007F060000}"/>
    <hyperlink ref="F1280" r:id="rId1665" xr:uid="{00000000-0004-0000-0200-000080060000}"/>
    <hyperlink ref="S1280" r:id="rId1666" xr:uid="{00000000-0004-0000-0200-000081060000}"/>
    <hyperlink ref="F1281" r:id="rId1667" xr:uid="{00000000-0004-0000-0200-000082060000}"/>
    <hyperlink ref="S1282" r:id="rId1668" xr:uid="{00000000-0004-0000-0200-000083060000}"/>
    <hyperlink ref="F1283" r:id="rId1669" xr:uid="{00000000-0004-0000-0200-000084060000}"/>
    <hyperlink ref="S1283" r:id="rId1670" xr:uid="{00000000-0004-0000-0200-000085060000}"/>
    <hyperlink ref="S1285" r:id="rId1671" xr:uid="{00000000-0004-0000-0200-000086060000}"/>
    <hyperlink ref="S1286" r:id="rId1672" xr:uid="{00000000-0004-0000-0200-000087060000}"/>
    <hyperlink ref="F1287" r:id="rId1673" xr:uid="{00000000-0004-0000-0200-000088060000}"/>
    <hyperlink ref="F1289" r:id="rId1674" xr:uid="{00000000-0004-0000-0200-000089060000}"/>
    <hyperlink ref="F1291" r:id="rId1675" xr:uid="{00000000-0004-0000-0200-00008A060000}"/>
    <hyperlink ref="S1291" r:id="rId1676" xr:uid="{00000000-0004-0000-0200-00008B060000}"/>
    <hyperlink ref="S1292" r:id="rId1677" xr:uid="{00000000-0004-0000-0200-00008C060000}"/>
    <hyperlink ref="C1293" r:id="rId1678" xr:uid="{00000000-0004-0000-0200-00008D060000}"/>
    <hyperlink ref="F1293" r:id="rId1679" xr:uid="{00000000-0004-0000-0200-00008E060000}"/>
    <hyperlink ref="S1293" r:id="rId1680" xr:uid="{00000000-0004-0000-0200-00008F060000}"/>
    <hyperlink ref="F1295" r:id="rId1681" xr:uid="{00000000-0004-0000-0200-000090060000}"/>
    <hyperlink ref="F1298" r:id="rId1682" xr:uid="{00000000-0004-0000-0200-000091060000}"/>
    <hyperlink ref="F1299" r:id="rId1683" xr:uid="{00000000-0004-0000-0200-000092060000}"/>
    <hyperlink ref="F1300" r:id="rId1684" xr:uid="{00000000-0004-0000-0200-000093060000}"/>
    <hyperlink ref="S1301" r:id="rId1685" xr:uid="{00000000-0004-0000-0200-000094060000}"/>
    <hyperlink ref="S1302" r:id="rId1686" xr:uid="{00000000-0004-0000-0200-000095060000}"/>
    <hyperlink ref="F1303" r:id="rId1687" xr:uid="{00000000-0004-0000-0200-000096060000}"/>
    <hyperlink ref="S1303" r:id="rId1688" xr:uid="{00000000-0004-0000-0200-000097060000}"/>
    <hyperlink ref="F1304" r:id="rId1689" xr:uid="{00000000-0004-0000-0200-000098060000}"/>
    <hyperlink ref="S1304" r:id="rId1690" xr:uid="{00000000-0004-0000-0200-000099060000}"/>
    <hyperlink ref="F1305" r:id="rId1691" xr:uid="{00000000-0004-0000-0200-00009A060000}"/>
    <hyperlink ref="G1305" r:id="rId1692" xr:uid="{00000000-0004-0000-0200-00009B060000}"/>
    <hyperlink ref="S1305" r:id="rId1693" xr:uid="{00000000-0004-0000-0200-00009C060000}"/>
    <hyperlink ref="F1306" r:id="rId1694" xr:uid="{00000000-0004-0000-0200-00009D060000}"/>
    <hyperlink ref="S1306" r:id="rId1695" xr:uid="{00000000-0004-0000-0200-00009E060000}"/>
    <hyperlink ref="S1307" r:id="rId1696" xr:uid="{00000000-0004-0000-0200-00009F060000}"/>
    <hyperlink ref="F1308" r:id="rId1697" xr:uid="{00000000-0004-0000-0200-0000A0060000}"/>
    <hyperlink ref="F1309" r:id="rId1698" xr:uid="{00000000-0004-0000-0200-0000A1060000}"/>
    <hyperlink ref="F1310" r:id="rId1699" xr:uid="{00000000-0004-0000-0200-0000A2060000}"/>
    <hyperlink ref="F1311" r:id="rId1700" xr:uid="{00000000-0004-0000-0200-0000A3060000}"/>
    <hyperlink ref="F1313" r:id="rId1701" xr:uid="{00000000-0004-0000-0200-0000A4060000}"/>
    <hyperlink ref="G1314" r:id="rId1702" xr:uid="{00000000-0004-0000-0200-0000A5060000}"/>
    <hyperlink ref="F1315" r:id="rId1703" xr:uid="{00000000-0004-0000-0200-0000A6060000}"/>
    <hyperlink ref="F1316" r:id="rId1704" xr:uid="{00000000-0004-0000-0200-0000A7060000}"/>
    <hyperlink ref="S1317" r:id="rId1705" xr:uid="{00000000-0004-0000-0200-0000A8060000}"/>
    <hyperlink ref="F1318" r:id="rId1706" xr:uid="{00000000-0004-0000-0200-0000A9060000}"/>
    <hyperlink ref="S1318" r:id="rId1707" xr:uid="{00000000-0004-0000-0200-0000AA060000}"/>
    <hyperlink ref="F1319" r:id="rId1708" xr:uid="{00000000-0004-0000-0200-0000AB060000}"/>
    <hyperlink ref="S1319" r:id="rId1709" xr:uid="{00000000-0004-0000-0200-0000AC060000}"/>
    <hyperlink ref="C1320" r:id="rId1710" xr:uid="{00000000-0004-0000-0200-0000AD060000}"/>
    <hyperlink ref="G1320" r:id="rId1711" xr:uid="{00000000-0004-0000-0200-0000AE060000}"/>
    <hyperlink ref="S1320" r:id="rId1712" xr:uid="{00000000-0004-0000-0200-0000AF060000}"/>
    <hyperlink ref="F1321" r:id="rId1713" xr:uid="{00000000-0004-0000-0200-0000B0060000}"/>
    <hyperlink ref="S1321" r:id="rId1714" xr:uid="{00000000-0004-0000-0200-0000B1060000}"/>
    <hyperlink ref="F1322" r:id="rId1715" location=".XAWkpOOzi5N.twitter" xr:uid="{00000000-0004-0000-0200-0000B2060000}"/>
    <hyperlink ref="S1322" r:id="rId1716" xr:uid="{00000000-0004-0000-0200-0000B3060000}"/>
    <hyperlink ref="F1323" r:id="rId1717" xr:uid="{00000000-0004-0000-0200-0000B4060000}"/>
    <hyperlink ref="S1323" r:id="rId1718" xr:uid="{00000000-0004-0000-0200-0000B5060000}"/>
    <hyperlink ref="G1324" r:id="rId1719" xr:uid="{00000000-0004-0000-0200-0000B6060000}"/>
    <hyperlink ref="S1324" r:id="rId1720" xr:uid="{00000000-0004-0000-0200-0000B7060000}"/>
    <hyperlink ref="F1325" r:id="rId1721" xr:uid="{00000000-0004-0000-0200-0000B8060000}"/>
    <hyperlink ref="S1326" r:id="rId1722" xr:uid="{00000000-0004-0000-0200-0000B9060000}"/>
    <hyperlink ref="S1328" r:id="rId1723" xr:uid="{00000000-0004-0000-0200-0000BA060000}"/>
    <hyperlink ref="G1330" r:id="rId1724" xr:uid="{00000000-0004-0000-0200-0000BB060000}"/>
    <hyperlink ref="F1332" r:id="rId1725" xr:uid="{00000000-0004-0000-0200-0000BC060000}"/>
    <hyperlink ref="F1333" r:id="rId1726" xr:uid="{00000000-0004-0000-0200-0000BD060000}"/>
    <hyperlink ref="S1333" r:id="rId1727" xr:uid="{00000000-0004-0000-0200-0000BE060000}"/>
    <hyperlink ref="F1334" r:id="rId1728" xr:uid="{00000000-0004-0000-0200-0000BF060000}"/>
    <hyperlink ref="G1334" r:id="rId1729" xr:uid="{00000000-0004-0000-0200-0000C0060000}"/>
    <hyperlink ref="G1336" r:id="rId1730" xr:uid="{00000000-0004-0000-0200-0000C1060000}"/>
    <hyperlink ref="F1337" r:id="rId1731" xr:uid="{00000000-0004-0000-0200-0000C2060000}"/>
    <hyperlink ref="S1337" r:id="rId1732" xr:uid="{00000000-0004-0000-0200-0000C3060000}"/>
    <hyperlink ref="S1341" r:id="rId1733" xr:uid="{00000000-0004-0000-0200-0000C4060000}"/>
    <hyperlink ref="F1343" r:id="rId1734" xr:uid="{00000000-0004-0000-0200-0000C5060000}"/>
    <hyperlink ref="S1343" r:id="rId1735" xr:uid="{00000000-0004-0000-0200-0000C6060000}"/>
    <hyperlink ref="F1347" r:id="rId1736" xr:uid="{00000000-0004-0000-0200-0000C7060000}"/>
    <hyperlink ref="S1347" r:id="rId1737" xr:uid="{00000000-0004-0000-0200-0000C8060000}"/>
    <hyperlink ref="F1350" r:id="rId1738" xr:uid="{00000000-0004-0000-0200-0000C9060000}"/>
    <hyperlink ref="G1350" r:id="rId1739" xr:uid="{00000000-0004-0000-0200-0000CA060000}"/>
    <hyperlink ref="S1350" r:id="rId1740" xr:uid="{00000000-0004-0000-0200-0000CB060000}"/>
    <hyperlink ref="F1351" r:id="rId1741" xr:uid="{00000000-0004-0000-0200-0000CC060000}"/>
    <hyperlink ref="G1351" r:id="rId1742" xr:uid="{00000000-0004-0000-0200-0000CD060000}"/>
    <hyperlink ref="F1353" r:id="rId1743" xr:uid="{00000000-0004-0000-0200-0000CE060000}"/>
    <hyperlink ref="S1353" r:id="rId1744" xr:uid="{00000000-0004-0000-0200-0000CF060000}"/>
    <hyperlink ref="F1355" r:id="rId1745" xr:uid="{00000000-0004-0000-0200-0000D0060000}"/>
    <hyperlink ref="G1356" r:id="rId1746" xr:uid="{00000000-0004-0000-0200-0000D1060000}"/>
    <hyperlink ref="F1357" r:id="rId1747" xr:uid="{00000000-0004-0000-0200-0000D2060000}"/>
    <hyperlink ref="F1358" r:id="rId1748" xr:uid="{00000000-0004-0000-0200-0000D3060000}"/>
    <hyperlink ref="G1358" r:id="rId1749" xr:uid="{00000000-0004-0000-0200-0000D4060000}"/>
    <hyperlink ref="S1358" r:id="rId1750" xr:uid="{00000000-0004-0000-0200-0000D5060000}"/>
    <hyperlink ref="F1360" r:id="rId1751" xr:uid="{00000000-0004-0000-0200-0000D6060000}"/>
    <hyperlink ref="G1360" r:id="rId1752" xr:uid="{00000000-0004-0000-0200-0000D7060000}"/>
    <hyperlink ref="S1360" r:id="rId1753" xr:uid="{00000000-0004-0000-0200-0000D8060000}"/>
    <hyperlink ref="G1361" r:id="rId1754" xr:uid="{00000000-0004-0000-0200-0000D9060000}"/>
    <hyperlink ref="S1361" r:id="rId1755" xr:uid="{00000000-0004-0000-0200-0000DA060000}"/>
    <hyperlink ref="S1362" r:id="rId1756" xr:uid="{00000000-0004-0000-0200-0000DB060000}"/>
    <hyperlink ref="F1363" r:id="rId1757" xr:uid="{00000000-0004-0000-0200-0000DC060000}"/>
    <hyperlink ref="F1367" r:id="rId1758" xr:uid="{00000000-0004-0000-0200-0000DD060000}"/>
    <hyperlink ref="F1368" r:id="rId1759" xr:uid="{00000000-0004-0000-0200-0000DE060000}"/>
    <hyperlink ref="S1369" r:id="rId1760" xr:uid="{00000000-0004-0000-0200-0000DF060000}"/>
    <hyperlink ref="F1370" r:id="rId1761" xr:uid="{00000000-0004-0000-0200-0000E0060000}"/>
    <hyperlink ref="G1371" r:id="rId1762" xr:uid="{00000000-0004-0000-0200-0000E1060000}"/>
    <hyperlink ref="S1373" r:id="rId1763" xr:uid="{00000000-0004-0000-0200-0000E2060000}"/>
    <hyperlink ref="S1377" r:id="rId1764" xr:uid="{00000000-0004-0000-0200-0000E3060000}"/>
    <hyperlink ref="G1378" r:id="rId1765" xr:uid="{00000000-0004-0000-0200-0000E4060000}"/>
    <hyperlink ref="F1379" r:id="rId1766" xr:uid="{00000000-0004-0000-0200-0000E5060000}"/>
    <hyperlink ref="F1380" r:id="rId1767" xr:uid="{00000000-0004-0000-0200-0000E6060000}"/>
    <hyperlink ref="S1380" r:id="rId1768" xr:uid="{00000000-0004-0000-0200-0000E7060000}"/>
    <hyperlink ref="F1382" r:id="rId1769" location=".XAV_hcQcSqQ.twitter" xr:uid="{00000000-0004-0000-0200-0000E8060000}"/>
    <hyperlink ref="F1383" r:id="rId1770" xr:uid="{00000000-0004-0000-0200-0000E9060000}"/>
    <hyperlink ref="S1383" r:id="rId1771" xr:uid="{00000000-0004-0000-0200-0000EA060000}"/>
    <hyperlink ref="F1386" r:id="rId1772" xr:uid="{00000000-0004-0000-0200-0000EB060000}"/>
    <hyperlink ref="S1387" r:id="rId1773" xr:uid="{00000000-0004-0000-0200-0000EC060000}"/>
    <hyperlink ref="F1388" r:id="rId1774" xr:uid="{00000000-0004-0000-0200-0000ED060000}"/>
    <hyperlink ref="S1388" r:id="rId1775" xr:uid="{00000000-0004-0000-0200-0000EE060000}"/>
    <hyperlink ref="S1389" r:id="rId1776" xr:uid="{00000000-0004-0000-0200-0000EF060000}"/>
    <hyperlink ref="F1390" r:id="rId1777" xr:uid="{00000000-0004-0000-0200-0000F0060000}"/>
    <hyperlink ref="F1391" r:id="rId1778" xr:uid="{00000000-0004-0000-0200-0000F1060000}"/>
    <hyperlink ref="F1392" r:id="rId1779" xr:uid="{00000000-0004-0000-0200-0000F2060000}"/>
    <hyperlink ref="S1392" r:id="rId1780" xr:uid="{00000000-0004-0000-0200-0000F3060000}"/>
    <hyperlink ref="F1393" r:id="rId1781" xr:uid="{00000000-0004-0000-0200-0000F4060000}"/>
    <hyperlink ref="S1393" r:id="rId1782" xr:uid="{00000000-0004-0000-0200-0000F5060000}"/>
    <hyperlink ref="F1394" r:id="rId1783" xr:uid="{00000000-0004-0000-0200-0000F6060000}"/>
    <hyperlink ref="S1394" r:id="rId1784" xr:uid="{00000000-0004-0000-0200-0000F7060000}"/>
    <hyperlink ref="F1395" r:id="rId1785" xr:uid="{00000000-0004-0000-0200-0000F8060000}"/>
    <hyperlink ref="G1395" r:id="rId1786" xr:uid="{00000000-0004-0000-0200-0000F9060000}"/>
    <hyperlink ref="S1395" r:id="rId1787" xr:uid="{00000000-0004-0000-0200-0000FA060000}"/>
    <hyperlink ref="S1398" r:id="rId1788" xr:uid="{00000000-0004-0000-0200-0000FB060000}"/>
    <hyperlink ref="F1399" r:id="rId1789" xr:uid="{00000000-0004-0000-0200-0000FC060000}"/>
    <hyperlink ref="S1400" r:id="rId1790" xr:uid="{00000000-0004-0000-0200-0000FD060000}"/>
    <hyperlink ref="F1401" r:id="rId1791" xr:uid="{00000000-0004-0000-0200-0000FE060000}"/>
    <hyperlink ref="S1401" r:id="rId1792" xr:uid="{00000000-0004-0000-0200-0000FF060000}"/>
    <hyperlink ref="F1402" r:id="rId1793" xr:uid="{00000000-0004-0000-0200-000000070000}"/>
    <hyperlink ref="S1402" r:id="rId1794" xr:uid="{00000000-0004-0000-0200-000001070000}"/>
    <hyperlink ref="G1404" r:id="rId1795" xr:uid="{00000000-0004-0000-0200-000002070000}"/>
    <hyperlink ref="S1407" r:id="rId1796" xr:uid="{00000000-0004-0000-0200-000003070000}"/>
    <hyperlink ref="F1409" r:id="rId1797" xr:uid="{00000000-0004-0000-0200-000004070000}"/>
    <hyperlink ref="F1410" r:id="rId1798" xr:uid="{00000000-0004-0000-0200-000005070000}"/>
    <hyperlink ref="S1410" r:id="rId1799" xr:uid="{00000000-0004-0000-0200-000006070000}"/>
    <hyperlink ref="F1411" r:id="rId1800" xr:uid="{00000000-0004-0000-0200-000007070000}"/>
    <hyperlink ref="S1411" r:id="rId1801" xr:uid="{00000000-0004-0000-0200-000008070000}"/>
    <hyperlink ref="F1413" r:id="rId1802" xr:uid="{00000000-0004-0000-0200-000009070000}"/>
    <hyperlink ref="F1414" r:id="rId1803" xr:uid="{00000000-0004-0000-0200-00000A070000}"/>
    <hyperlink ref="F1415" r:id="rId1804" xr:uid="{00000000-0004-0000-0200-00000B070000}"/>
    <hyperlink ref="F1417" r:id="rId1805" xr:uid="{00000000-0004-0000-0200-00000C070000}"/>
    <hyperlink ref="F1418" r:id="rId1806" xr:uid="{00000000-0004-0000-0200-00000D070000}"/>
    <hyperlink ref="G1418" r:id="rId1807" xr:uid="{00000000-0004-0000-0200-00000E070000}"/>
    <hyperlink ref="F1419" r:id="rId1808" xr:uid="{00000000-0004-0000-0200-00000F070000}"/>
    <hyperlink ref="F1421" r:id="rId1809" xr:uid="{00000000-0004-0000-0200-000010070000}"/>
    <hyperlink ref="F1422" r:id="rId1810" xr:uid="{00000000-0004-0000-0200-000011070000}"/>
    <hyperlink ref="F1424" r:id="rId1811" xr:uid="{00000000-0004-0000-0200-000012070000}"/>
    <hyperlink ref="G1424" r:id="rId1812" xr:uid="{00000000-0004-0000-0200-000013070000}"/>
    <hyperlink ref="S1424" r:id="rId1813" xr:uid="{00000000-0004-0000-0200-000014070000}"/>
    <hyperlink ref="C1426" r:id="rId1814" xr:uid="{00000000-0004-0000-0200-000015070000}"/>
    <hyperlink ref="F1426" r:id="rId1815" xr:uid="{00000000-0004-0000-0200-000016070000}"/>
    <hyperlink ref="S1426" r:id="rId1816" xr:uid="{00000000-0004-0000-0200-000017070000}"/>
    <hyperlink ref="F1428" r:id="rId1817" xr:uid="{00000000-0004-0000-0200-000018070000}"/>
    <hyperlink ref="S1428" r:id="rId1818" xr:uid="{00000000-0004-0000-0200-000019070000}"/>
    <hyperlink ref="G1429" r:id="rId1819" xr:uid="{00000000-0004-0000-0200-00001A070000}"/>
    <hyperlink ref="S1429" r:id="rId1820" xr:uid="{00000000-0004-0000-0200-00001B070000}"/>
    <hyperlink ref="F1430" r:id="rId1821" xr:uid="{00000000-0004-0000-0200-00001C070000}"/>
    <hyperlink ref="S1430" r:id="rId1822" xr:uid="{00000000-0004-0000-0200-00001D070000}"/>
    <hyperlink ref="F1431" r:id="rId1823" xr:uid="{00000000-0004-0000-0200-00001E070000}"/>
    <hyperlink ref="F1433" r:id="rId1824" xr:uid="{00000000-0004-0000-0200-00001F070000}"/>
    <hyperlink ref="F1434" r:id="rId1825" xr:uid="{00000000-0004-0000-0200-000020070000}"/>
    <hyperlink ref="S1434" r:id="rId1826" xr:uid="{00000000-0004-0000-0200-000021070000}"/>
    <hyperlink ref="F1435" r:id="rId1827" xr:uid="{00000000-0004-0000-0200-000022070000}"/>
    <hyperlink ref="G1435" r:id="rId1828" xr:uid="{00000000-0004-0000-0200-000023070000}"/>
    <hyperlink ref="G1436" r:id="rId1829" xr:uid="{00000000-0004-0000-0200-000024070000}"/>
    <hyperlink ref="S1436" r:id="rId1830" xr:uid="{00000000-0004-0000-0200-000025070000}"/>
    <hyperlink ref="F1438" r:id="rId1831" xr:uid="{00000000-0004-0000-0200-000026070000}"/>
    <hyperlink ref="F1439" r:id="rId1832" xr:uid="{00000000-0004-0000-0200-000027070000}"/>
    <hyperlink ref="F1440" r:id="rId1833" xr:uid="{00000000-0004-0000-0200-000028070000}"/>
    <hyperlink ref="G1440" r:id="rId1834" xr:uid="{00000000-0004-0000-0200-000029070000}"/>
    <hyperlink ref="S1440" r:id="rId1835" xr:uid="{00000000-0004-0000-0200-00002A070000}"/>
    <hyperlink ref="F1442" r:id="rId1836" xr:uid="{00000000-0004-0000-0200-00002B070000}"/>
    <hyperlink ref="G1442" r:id="rId1837" xr:uid="{00000000-0004-0000-0200-00002C070000}"/>
    <hyperlink ref="S1442" r:id="rId1838" xr:uid="{00000000-0004-0000-0200-00002D070000}"/>
    <hyperlink ref="F1445" r:id="rId1839" xr:uid="{00000000-0004-0000-0200-00002E070000}"/>
    <hyperlink ref="F1447" r:id="rId1840" xr:uid="{00000000-0004-0000-0200-00002F070000}"/>
    <hyperlink ref="F1448" r:id="rId1841" xr:uid="{00000000-0004-0000-0200-000030070000}"/>
    <hyperlink ref="S1448" r:id="rId1842" xr:uid="{00000000-0004-0000-0200-000031070000}"/>
    <hyperlink ref="F1449" r:id="rId1843" xr:uid="{00000000-0004-0000-0200-000032070000}"/>
    <hyperlink ref="S1449" r:id="rId1844" xr:uid="{00000000-0004-0000-0200-000033070000}"/>
    <hyperlink ref="F1450" r:id="rId1845" xr:uid="{00000000-0004-0000-0200-000034070000}"/>
    <hyperlink ref="F1451" r:id="rId1846" xr:uid="{00000000-0004-0000-0200-000035070000}"/>
    <hyperlink ref="F1452" r:id="rId1847" xr:uid="{00000000-0004-0000-0200-000036070000}"/>
    <hyperlink ref="S1452" r:id="rId1848" xr:uid="{00000000-0004-0000-0200-000037070000}"/>
    <hyperlink ref="F1453" r:id="rId1849" xr:uid="{00000000-0004-0000-0200-000038070000}"/>
    <hyperlink ref="F1454" r:id="rId1850" xr:uid="{00000000-0004-0000-0200-000039070000}"/>
    <hyperlink ref="S1455" r:id="rId1851" xr:uid="{00000000-0004-0000-0200-00003A070000}"/>
    <hyperlink ref="G1456" r:id="rId1852" xr:uid="{00000000-0004-0000-0200-00003B070000}"/>
    <hyperlink ref="S1456" r:id="rId1853" xr:uid="{00000000-0004-0000-0200-00003C070000}"/>
    <hyperlink ref="F1457" r:id="rId1854" xr:uid="{00000000-0004-0000-0200-00003D070000}"/>
    <hyperlink ref="S1457" r:id="rId1855" xr:uid="{00000000-0004-0000-0200-00003E070000}"/>
    <hyperlink ref="F1458" r:id="rId1856" xr:uid="{00000000-0004-0000-0200-00003F070000}"/>
    <hyperlink ref="G1458" r:id="rId1857" xr:uid="{00000000-0004-0000-0200-000040070000}"/>
    <hyperlink ref="S1458" r:id="rId1858" xr:uid="{00000000-0004-0000-0200-000041070000}"/>
    <hyperlink ref="F1459" r:id="rId1859" xr:uid="{00000000-0004-0000-0200-000042070000}"/>
    <hyperlink ref="S1459" r:id="rId1860" xr:uid="{00000000-0004-0000-0200-000043070000}"/>
    <hyperlink ref="S1461" r:id="rId1861" xr:uid="{00000000-0004-0000-0200-000044070000}"/>
    <hyperlink ref="G1462" r:id="rId1862" xr:uid="{00000000-0004-0000-0200-000045070000}"/>
    <hyperlink ref="G1463" r:id="rId1863" xr:uid="{00000000-0004-0000-0200-000046070000}"/>
    <hyperlink ref="S1463" r:id="rId1864" xr:uid="{00000000-0004-0000-0200-000047070000}"/>
    <hyperlink ref="F1465" r:id="rId1865" xr:uid="{00000000-0004-0000-0200-000048070000}"/>
    <hyperlink ref="G1465" r:id="rId1866" xr:uid="{00000000-0004-0000-0200-000049070000}"/>
    <hyperlink ref="F1466" r:id="rId1867" xr:uid="{00000000-0004-0000-0200-00004A070000}"/>
    <hyperlink ref="S1466" r:id="rId1868" xr:uid="{00000000-0004-0000-0200-00004B070000}"/>
    <hyperlink ref="F1467" r:id="rId1869" xr:uid="{00000000-0004-0000-0200-00004C070000}"/>
    <hyperlink ref="G1467" r:id="rId1870" xr:uid="{00000000-0004-0000-0200-00004D070000}"/>
    <hyperlink ref="F1468" r:id="rId1871" xr:uid="{00000000-0004-0000-0200-00004E070000}"/>
    <hyperlink ref="F1469" r:id="rId1872" xr:uid="{00000000-0004-0000-0200-00004F070000}"/>
    <hyperlink ref="F1470" r:id="rId1873" xr:uid="{00000000-0004-0000-0200-000050070000}"/>
    <hyperlink ref="S1471" r:id="rId1874" xr:uid="{00000000-0004-0000-0200-000051070000}"/>
    <hyperlink ref="G1472" r:id="rId1875" xr:uid="{00000000-0004-0000-0200-000052070000}"/>
    <hyperlink ref="F1473" r:id="rId1876" xr:uid="{00000000-0004-0000-0200-000053070000}"/>
    <hyperlink ref="S1473" r:id="rId1877" xr:uid="{00000000-0004-0000-0200-000054070000}"/>
    <hyperlink ref="S1475" r:id="rId1878" xr:uid="{00000000-0004-0000-0200-000055070000}"/>
    <hyperlink ref="F1476" r:id="rId1879" xr:uid="{00000000-0004-0000-0200-000056070000}"/>
    <hyperlink ref="S1476" r:id="rId1880" xr:uid="{00000000-0004-0000-0200-000057070000}"/>
    <hyperlink ref="G1477" r:id="rId1881" xr:uid="{00000000-0004-0000-0200-000058070000}"/>
    <hyperlink ref="F1479" r:id="rId1882" xr:uid="{00000000-0004-0000-0200-000059070000}"/>
    <hyperlink ref="F1480" r:id="rId1883" xr:uid="{00000000-0004-0000-0200-00005A070000}"/>
    <hyperlink ref="S1480" r:id="rId1884" xr:uid="{00000000-0004-0000-0200-00005B070000}"/>
    <hyperlink ref="G1481" r:id="rId1885" xr:uid="{00000000-0004-0000-0200-00005C070000}"/>
    <hyperlink ref="F1482" r:id="rId1886" xr:uid="{00000000-0004-0000-0200-00005D070000}"/>
    <hyperlink ref="F1483" r:id="rId1887" xr:uid="{00000000-0004-0000-0200-00005E070000}"/>
    <hyperlink ref="S1483" r:id="rId1888" xr:uid="{00000000-0004-0000-0200-00005F070000}"/>
    <hyperlink ref="F1486" r:id="rId1889" xr:uid="{00000000-0004-0000-0200-000060070000}"/>
    <hyperlink ref="S1486" r:id="rId1890" xr:uid="{00000000-0004-0000-0200-000061070000}"/>
    <hyperlink ref="F1488" r:id="rId1891" xr:uid="{00000000-0004-0000-0200-000062070000}"/>
    <hyperlink ref="S1488" r:id="rId1892" xr:uid="{00000000-0004-0000-0200-000063070000}"/>
    <hyperlink ref="F1489" r:id="rId1893" xr:uid="{00000000-0004-0000-0200-000064070000}"/>
    <hyperlink ref="F1490" r:id="rId1894" xr:uid="{00000000-0004-0000-0200-000065070000}"/>
    <hyperlink ref="G1491" r:id="rId1895" xr:uid="{00000000-0004-0000-0200-000066070000}"/>
    <hyperlink ref="F1492" r:id="rId1896" location=".XAU8jaNdgK4.twitter" xr:uid="{00000000-0004-0000-0200-000067070000}"/>
    <hyperlink ref="F1493" r:id="rId1897" xr:uid="{00000000-0004-0000-0200-000068070000}"/>
    <hyperlink ref="S1493" r:id="rId1898" xr:uid="{00000000-0004-0000-0200-000069070000}"/>
    <hyperlink ref="S1494" r:id="rId1899" xr:uid="{00000000-0004-0000-0200-00006A070000}"/>
    <hyperlink ref="F1495" r:id="rId1900" xr:uid="{00000000-0004-0000-0200-00006B070000}"/>
    <hyperlink ref="F1496" r:id="rId1901" xr:uid="{00000000-0004-0000-0200-00006C070000}"/>
    <hyperlink ref="F1497" r:id="rId1902" xr:uid="{00000000-0004-0000-0200-00006D070000}"/>
    <hyperlink ref="S1497" r:id="rId1903" xr:uid="{00000000-0004-0000-0200-00006E070000}"/>
    <hyperlink ref="F1498" r:id="rId1904" xr:uid="{00000000-0004-0000-0200-00006F070000}"/>
    <hyperlink ref="S1498" r:id="rId1905" xr:uid="{00000000-0004-0000-0200-000070070000}"/>
    <hyperlink ref="F1499" r:id="rId1906" xr:uid="{00000000-0004-0000-0200-000071070000}"/>
    <hyperlink ref="S1499" r:id="rId1907" xr:uid="{00000000-0004-0000-0200-000072070000}"/>
    <hyperlink ref="F1500" r:id="rId1908" xr:uid="{00000000-0004-0000-0200-000073070000}"/>
    <hyperlink ref="F1501" r:id="rId1909" xr:uid="{00000000-0004-0000-0200-000074070000}"/>
    <hyperlink ref="G1501" r:id="rId1910" xr:uid="{00000000-0004-0000-0200-000075070000}"/>
    <hyperlink ref="S1501" r:id="rId1911" xr:uid="{00000000-0004-0000-0200-000076070000}"/>
    <hyperlink ref="F1503" r:id="rId1912" xr:uid="{00000000-0004-0000-0200-000077070000}"/>
    <hyperlink ref="S1503" r:id="rId1913" xr:uid="{00000000-0004-0000-0200-000078070000}"/>
    <hyperlink ref="C1504" r:id="rId1914" xr:uid="{00000000-0004-0000-0200-000079070000}"/>
    <hyperlink ref="F1504" r:id="rId1915" xr:uid="{00000000-0004-0000-0200-00007A070000}"/>
    <hyperlink ref="S1504" r:id="rId1916" xr:uid="{00000000-0004-0000-0200-00007B070000}"/>
    <hyperlink ref="F1505" r:id="rId1917" xr:uid="{00000000-0004-0000-0200-00007C070000}"/>
    <hyperlink ref="S1505" r:id="rId1918" xr:uid="{00000000-0004-0000-0200-00007D070000}"/>
    <hyperlink ref="G1507" r:id="rId1919" xr:uid="{00000000-0004-0000-0200-00007E070000}"/>
    <hyperlink ref="S1507" r:id="rId1920" xr:uid="{00000000-0004-0000-0200-00007F070000}"/>
    <hyperlink ref="F1509" r:id="rId1921" xr:uid="{00000000-0004-0000-0200-000080070000}"/>
    <hyperlink ref="S1509" r:id="rId1922" xr:uid="{00000000-0004-0000-0200-000081070000}"/>
    <hyperlink ref="F1512" r:id="rId1923" xr:uid="{00000000-0004-0000-0200-000082070000}"/>
    <hyperlink ref="S1512" r:id="rId1924" xr:uid="{00000000-0004-0000-0200-000083070000}"/>
    <hyperlink ref="F1513" r:id="rId1925" xr:uid="{00000000-0004-0000-0200-000084070000}"/>
    <hyperlink ref="G1513" r:id="rId1926" xr:uid="{00000000-0004-0000-0200-000085070000}"/>
    <hyperlink ref="S1513" r:id="rId1927" xr:uid="{00000000-0004-0000-0200-000086070000}"/>
    <hyperlink ref="S1515" r:id="rId1928" xr:uid="{00000000-0004-0000-0200-000087070000}"/>
    <hyperlink ref="G1516" r:id="rId1929" xr:uid="{00000000-0004-0000-0200-000088070000}"/>
    <hyperlink ref="S1516" r:id="rId1930" xr:uid="{00000000-0004-0000-0200-000089070000}"/>
    <hyperlink ref="S1517" r:id="rId1931" xr:uid="{00000000-0004-0000-0200-00008A070000}"/>
    <hyperlink ref="S1518" r:id="rId1932" xr:uid="{00000000-0004-0000-0200-00008B070000}"/>
    <hyperlink ref="S1519" r:id="rId1933" xr:uid="{00000000-0004-0000-0200-00008C070000}"/>
    <hyperlink ref="S1521" r:id="rId1934" xr:uid="{00000000-0004-0000-0200-00008D070000}"/>
    <hyperlink ref="F1523" r:id="rId1935" xr:uid="{00000000-0004-0000-0200-00008E070000}"/>
    <hyperlink ref="S1523" r:id="rId1936" xr:uid="{00000000-0004-0000-0200-00008F070000}"/>
    <hyperlink ref="C1525" r:id="rId1937" xr:uid="{00000000-0004-0000-0200-000090070000}"/>
    <hyperlink ref="F1525" r:id="rId1938" xr:uid="{00000000-0004-0000-0200-000091070000}"/>
    <hyperlink ref="G1525" r:id="rId1939" xr:uid="{00000000-0004-0000-0200-000092070000}"/>
    <hyperlink ref="S1525" r:id="rId1940" xr:uid="{00000000-0004-0000-0200-000093070000}"/>
    <hyperlink ref="G1526" r:id="rId1941" xr:uid="{00000000-0004-0000-0200-000094070000}"/>
    <hyperlink ref="F1527" r:id="rId1942" xr:uid="{00000000-0004-0000-0200-000095070000}"/>
    <hyperlink ref="F1529" r:id="rId1943" xr:uid="{00000000-0004-0000-0200-000096070000}"/>
    <hyperlink ref="S1529" r:id="rId1944" xr:uid="{00000000-0004-0000-0200-000097070000}"/>
    <hyperlink ref="S1533" r:id="rId1945" xr:uid="{00000000-0004-0000-0200-000098070000}"/>
    <hyperlink ref="C1534" r:id="rId1946" xr:uid="{00000000-0004-0000-0200-000099070000}"/>
    <hyperlink ref="F1534" r:id="rId1947" xr:uid="{00000000-0004-0000-0200-00009A070000}"/>
    <hyperlink ref="S1534" r:id="rId1948" xr:uid="{00000000-0004-0000-0200-00009B070000}"/>
    <hyperlink ref="F1535" r:id="rId1949" xr:uid="{00000000-0004-0000-0200-00009C070000}"/>
    <hyperlink ref="G1535" r:id="rId1950" xr:uid="{00000000-0004-0000-0200-00009D070000}"/>
    <hyperlink ref="G1536" r:id="rId1951" xr:uid="{00000000-0004-0000-0200-00009E070000}"/>
    <hyperlink ref="S1536" r:id="rId1952" xr:uid="{00000000-0004-0000-0200-00009F070000}"/>
    <hyperlink ref="F1537" r:id="rId1953" xr:uid="{00000000-0004-0000-0200-0000A0070000}"/>
    <hyperlink ref="S1537" r:id="rId1954" xr:uid="{00000000-0004-0000-0200-0000A1070000}"/>
    <hyperlink ref="S1539" r:id="rId1955" xr:uid="{00000000-0004-0000-0200-0000A2070000}"/>
    <hyperlink ref="S1540" r:id="rId1956" xr:uid="{00000000-0004-0000-0200-0000A3070000}"/>
    <hyperlink ref="F1542" r:id="rId1957" xr:uid="{00000000-0004-0000-0200-0000A4070000}"/>
    <hyperlink ref="S1542" r:id="rId1958" xr:uid="{00000000-0004-0000-0200-0000A5070000}"/>
    <hyperlink ref="S1543" r:id="rId1959" xr:uid="{00000000-0004-0000-0200-0000A6070000}"/>
    <hyperlink ref="S1545" r:id="rId1960" xr:uid="{00000000-0004-0000-0200-0000A7070000}"/>
    <hyperlink ref="G1546" r:id="rId1961" xr:uid="{00000000-0004-0000-0200-0000A8070000}"/>
    <hyperlink ref="S1546" r:id="rId1962" xr:uid="{00000000-0004-0000-0200-0000A9070000}"/>
    <hyperlink ref="G1547" r:id="rId1963" xr:uid="{00000000-0004-0000-0200-0000AA070000}"/>
    <hyperlink ref="S1547" r:id="rId1964" xr:uid="{00000000-0004-0000-0200-0000AB070000}"/>
    <hyperlink ref="F1548" r:id="rId1965" xr:uid="{00000000-0004-0000-0200-0000AC070000}"/>
    <hyperlink ref="F1549" r:id="rId1966" xr:uid="{00000000-0004-0000-0200-0000AD070000}"/>
    <hyperlink ref="S1549" r:id="rId1967" xr:uid="{00000000-0004-0000-0200-0000AE070000}"/>
    <hyperlink ref="G1552" r:id="rId1968" xr:uid="{00000000-0004-0000-0200-0000AF070000}"/>
    <hyperlink ref="S1553" r:id="rId1969" xr:uid="{00000000-0004-0000-0200-0000B0070000}"/>
    <hyperlink ref="S1554" r:id="rId1970" xr:uid="{00000000-0004-0000-0200-0000B1070000}"/>
    <hyperlink ref="G1556" r:id="rId1971" xr:uid="{00000000-0004-0000-0200-0000B2070000}"/>
    <hyperlink ref="S1558" r:id="rId1972" xr:uid="{00000000-0004-0000-0200-0000B3070000}"/>
    <hyperlink ref="G1559" r:id="rId1973" xr:uid="{00000000-0004-0000-0200-0000B4070000}"/>
    <hyperlink ref="S1559" r:id="rId1974" xr:uid="{00000000-0004-0000-0200-0000B5070000}"/>
    <hyperlink ref="F1560" r:id="rId1975" xr:uid="{00000000-0004-0000-0200-0000B6070000}"/>
    <hyperlink ref="S1560" r:id="rId1976" xr:uid="{00000000-0004-0000-0200-0000B7070000}"/>
    <hyperlink ref="F1562" r:id="rId1977" xr:uid="{00000000-0004-0000-0200-0000B8070000}"/>
    <hyperlink ref="F1563" r:id="rId1978" xr:uid="{00000000-0004-0000-0200-0000B9070000}"/>
    <hyperlink ref="S1563" r:id="rId1979" xr:uid="{00000000-0004-0000-0200-0000BA070000}"/>
    <hyperlink ref="F1564" r:id="rId1980" xr:uid="{00000000-0004-0000-0200-0000BB070000}"/>
    <hyperlink ref="F1565" r:id="rId1981" xr:uid="{00000000-0004-0000-0200-0000BC070000}"/>
    <hyperlink ref="S1565" r:id="rId1982" xr:uid="{00000000-0004-0000-0200-0000BD070000}"/>
    <hyperlink ref="G1567" r:id="rId1983" xr:uid="{00000000-0004-0000-0200-0000BE070000}"/>
    <hyperlink ref="S1568" r:id="rId1984" xr:uid="{00000000-0004-0000-0200-0000BF070000}"/>
    <hyperlink ref="F1569" r:id="rId1985" xr:uid="{00000000-0004-0000-0200-0000C0070000}"/>
    <hyperlink ref="S1569" r:id="rId1986" xr:uid="{00000000-0004-0000-0200-0000C1070000}"/>
    <hyperlink ref="F1570" r:id="rId1987" xr:uid="{00000000-0004-0000-0200-0000C2070000}"/>
    <hyperlink ref="S1570" r:id="rId1988" xr:uid="{00000000-0004-0000-0200-0000C3070000}"/>
    <hyperlink ref="F1571" r:id="rId1989" xr:uid="{00000000-0004-0000-0200-0000C4070000}"/>
    <hyperlink ref="S1572" r:id="rId1990" xr:uid="{00000000-0004-0000-0200-0000C5070000}"/>
    <hyperlink ref="S1573" r:id="rId1991" xr:uid="{00000000-0004-0000-0200-0000C6070000}"/>
    <hyperlink ref="F1575" r:id="rId1992" xr:uid="{00000000-0004-0000-0200-0000C7070000}"/>
    <hyperlink ref="G1575" r:id="rId1993" xr:uid="{00000000-0004-0000-0200-0000C8070000}"/>
    <hyperlink ref="F1576" r:id="rId1994" xr:uid="{00000000-0004-0000-0200-0000C9070000}"/>
    <hyperlink ref="F1577" r:id="rId1995" xr:uid="{00000000-0004-0000-0200-0000CA070000}"/>
    <hyperlink ref="G1577" r:id="rId1996" xr:uid="{00000000-0004-0000-0200-0000CB070000}"/>
    <hyperlink ref="S1577" r:id="rId1997" xr:uid="{00000000-0004-0000-0200-0000CC070000}"/>
    <hyperlink ref="G1579" r:id="rId1998" xr:uid="{00000000-0004-0000-0200-0000CD070000}"/>
    <hyperlink ref="F1580" r:id="rId1999" xr:uid="{00000000-0004-0000-0200-0000CE070000}"/>
    <hyperlink ref="S1580" r:id="rId2000" xr:uid="{00000000-0004-0000-0200-0000CF070000}"/>
    <hyperlink ref="F1582" r:id="rId2001" xr:uid="{00000000-0004-0000-0200-0000D0070000}"/>
    <hyperlink ref="G1582" r:id="rId2002" xr:uid="{00000000-0004-0000-0200-0000D1070000}"/>
    <hyperlink ref="S1583" r:id="rId2003" xr:uid="{00000000-0004-0000-0200-0000D2070000}"/>
    <hyperlink ref="G1584" r:id="rId2004" xr:uid="{00000000-0004-0000-0200-0000D3070000}"/>
    <hyperlink ref="S1584" r:id="rId2005" xr:uid="{00000000-0004-0000-0200-0000D4070000}"/>
    <hyperlink ref="F1585" r:id="rId2006" xr:uid="{00000000-0004-0000-0200-0000D5070000}"/>
    <hyperlink ref="G1585" r:id="rId2007" xr:uid="{00000000-0004-0000-0200-0000D6070000}"/>
    <hyperlink ref="F1586" r:id="rId2008" xr:uid="{00000000-0004-0000-0200-0000D7070000}"/>
    <hyperlink ref="S1586" r:id="rId2009" xr:uid="{00000000-0004-0000-0200-0000D8070000}"/>
    <hyperlink ref="S1587" r:id="rId2010" xr:uid="{00000000-0004-0000-0200-0000D9070000}"/>
    <hyperlink ref="G1588" r:id="rId2011" xr:uid="{00000000-0004-0000-0200-0000DA070000}"/>
    <hyperlink ref="S1588" r:id="rId2012" xr:uid="{00000000-0004-0000-0200-0000DB070000}"/>
    <hyperlink ref="F1589" r:id="rId2013" xr:uid="{00000000-0004-0000-0200-0000DC070000}"/>
    <hyperlink ref="S1589" r:id="rId2014" xr:uid="{00000000-0004-0000-0200-0000DD070000}"/>
    <hyperlink ref="S1591" r:id="rId2015" xr:uid="{00000000-0004-0000-0200-0000DE070000}"/>
    <hyperlink ref="G1592" r:id="rId2016" xr:uid="{00000000-0004-0000-0200-0000DF070000}"/>
    <hyperlink ref="S1592" r:id="rId2017" xr:uid="{00000000-0004-0000-0200-0000E0070000}"/>
    <hyperlink ref="C1593" r:id="rId2018" xr:uid="{00000000-0004-0000-0200-0000E1070000}"/>
    <hyperlink ref="S1593" r:id="rId2019" xr:uid="{00000000-0004-0000-0200-0000E2070000}"/>
    <hyperlink ref="S1594" r:id="rId2020" xr:uid="{00000000-0004-0000-0200-0000E3070000}"/>
    <hyperlink ref="F1595" r:id="rId2021" xr:uid="{00000000-0004-0000-0200-0000E4070000}"/>
    <hyperlink ref="S1595" r:id="rId2022" xr:uid="{00000000-0004-0000-0200-0000E5070000}"/>
    <hyperlink ref="F1596" r:id="rId2023" xr:uid="{00000000-0004-0000-0200-0000E6070000}"/>
    <hyperlink ref="F1598" r:id="rId2024" xr:uid="{00000000-0004-0000-0200-0000E7070000}"/>
    <hyperlink ref="S1598" r:id="rId2025" xr:uid="{00000000-0004-0000-0200-0000E8070000}"/>
    <hyperlink ref="G1600" r:id="rId2026" xr:uid="{00000000-0004-0000-0200-0000E9070000}"/>
    <hyperlink ref="S1600" r:id="rId2027" xr:uid="{00000000-0004-0000-0200-0000EA070000}"/>
    <hyperlink ref="F1601" r:id="rId2028" xr:uid="{00000000-0004-0000-0200-0000EB070000}"/>
    <hyperlink ref="G1601" r:id="rId2029" xr:uid="{00000000-0004-0000-0200-0000EC070000}"/>
    <hyperlink ref="F1602" r:id="rId2030" xr:uid="{00000000-0004-0000-0200-0000ED070000}"/>
    <hyperlink ref="F1603" r:id="rId2031" xr:uid="{00000000-0004-0000-0200-0000EE070000}"/>
    <hyperlink ref="S1603" r:id="rId2032" xr:uid="{00000000-0004-0000-0200-0000EF070000}"/>
    <hyperlink ref="F1604" r:id="rId2033" xr:uid="{00000000-0004-0000-0200-0000F0070000}"/>
    <hyperlink ref="F1607" r:id="rId2034" xr:uid="{00000000-0004-0000-0200-0000F1070000}"/>
    <hyperlink ref="S1608" r:id="rId2035" xr:uid="{00000000-0004-0000-0200-0000F2070000}"/>
    <hyperlink ref="F1610" r:id="rId2036" xr:uid="{00000000-0004-0000-0200-0000F3070000}"/>
    <hyperlink ref="S1610" r:id="rId2037" xr:uid="{00000000-0004-0000-0200-0000F4070000}"/>
    <hyperlink ref="G1612" r:id="rId2038" xr:uid="{00000000-0004-0000-0200-0000F5070000}"/>
    <hyperlink ref="F1613" r:id="rId2039" xr:uid="{00000000-0004-0000-0200-0000F6070000}"/>
    <hyperlink ref="S1613" r:id="rId2040" xr:uid="{00000000-0004-0000-0200-0000F7070000}"/>
    <hyperlink ref="F1614" r:id="rId2041" xr:uid="{00000000-0004-0000-0200-0000F8070000}"/>
    <hyperlink ref="G1614" r:id="rId2042" xr:uid="{00000000-0004-0000-0200-0000F9070000}"/>
    <hyperlink ref="S1614" r:id="rId2043" xr:uid="{00000000-0004-0000-0200-0000FA070000}"/>
    <hyperlink ref="F1616" r:id="rId2044" xr:uid="{00000000-0004-0000-0200-0000FB070000}"/>
    <hyperlink ref="G1616" r:id="rId2045" xr:uid="{00000000-0004-0000-0200-0000FC070000}"/>
    <hyperlink ref="S1616" r:id="rId2046" xr:uid="{00000000-0004-0000-0200-0000FD070000}"/>
    <hyperlink ref="F1617" r:id="rId2047" xr:uid="{00000000-0004-0000-0200-0000FE070000}"/>
    <hyperlink ref="G1617" r:id="rId2048" xr:uid="{00000000-0004-0000-0200-0000FF070000}"/>
    <hyperlink ref="S1617" r:id="rId2049" xr:uid="{00000000-0004-0000-0200-000000080000}"/>
    <hyperlink ref="S1621" r:id="rId2050" xr:uid="{00000000-0004-0000-0200-000001080000}"/>
    <hyperlink ref="F1622" r:id="rId2051" xr:uid="{00000000-0004-0000-0200-000002080000}"/>
    <hyperlink ref="G1622" r:id="rId2052" xr:uid="{00000000-0004-0000-0200-000003080000}"/>
    <hyperlink ref="G1623" r:id="rId2053" xr:uid="{00000000-0004-0000-0200-000004080000}"/>
    <hyperlink ref="G1626" r:id="rId2054" xr:uid="{00000000-0004-0000-0200-000005080000}"/>
    <hyperlink ref="S1626" r:id="rId2055" xr:uid="{00000000-0004-0000-0200-000006080000}"/>
    <hyperlink ref="F1627" r:id="rId2056" xr:uid="{00000000-0004-0000-0200-000007080000}"/>
    <hyperlink ref="G1628" r:id="rId2057" xr:uid="{00000000-0004-0000-0200-000008080000}"/>
    <hyperlink ref="F1629" r:id="rId2058" xr:uid="{00000000-0004-0000-0200-000009080000}"/>
    <hyperlink ref="F1631" r:id="rId2059" xr:uid="{00000000-0004-0000-0200-00000A080000}"/>
    <hyperlink ref="S1632" r:id="rId2060" xr:uid="{00000000-0004-0000-0200-00000B080000}"/>
    <hyperlink ref="F1633" r:id="rId2061" xr:uid="{00000000-0004-0000-0200-00000C080000}"/>
    <hyperlink ref="F1634" r:id="rId2062" xr:uid="{00000000-0004-0000-0200-00000D080000}"/>
    <hyperlink ref="G1634" r:id="rId2063" xr:uid="{00000000-0004-0000-0200-00000E080000}"/>
    <hyperlink ref="S1634" r:id="rId2064" xr:uid="{00000000-0004-0000-0200-00000F080000}"/>
    <hyperlink ref="F1635" r:id="rId2065" xr:uid="{00000000-0004-0000-0200-000010080000}"/>
    <hyperlink ref="C1636" r:id="rId2066" xr:uid="{00000000-0004-0000-0200-000011080000}"/>
    <hyperlink ref="F1636" r:id="rId2067" xr:uid="{00000000-0004-0000-0200-000012080000}"/>
    <hyperlink ref="S1636" r:id="rId2068" xr:uid="{00000000-0004-0000-0200-000013080000}"/>
    <hyperlink ref="F1637" r:id="rId2069" xr:uid="{00000000-0004-0000-0200-000014080000}"/>
    <hyperlink ref="S1637" r:id="rId2070" xr:uid="{00000000-0004-0000-0200-000015080000}"/>
    <hyperlink ref="S1638" r:id="rId2071" xr:uid="{00000000-0004-0000-0200-000016080000}"/>
    <hyperlink ref="S1640" r:id="rId2072" xr:uid="{00000000-0004-0000-0200-000017080000}"/>
    <hyperlink ref="F1641" r:id="rId2073" xr:uid="{00000000-0004-0000-0200-000018080000}"/>
    <hyperlink ref="G1642" r:id="rId2074" xr:uid="{00000000-0004-0000-0200-000019080000}"/>
    <hyperlink ref="S1642" r:id="rId2075" xr:uid="{00000000-0004-0000-0200-00001A080000}"/>
    <hyperlink ref="F1643" r:id="rId2076" xr:uid="{00000000-0004-0000-0200-00001B080000}"/>
    <hyperlink ref="F1644" r:id="rId2077" xr:uid="{00000000-0004-0000-0200-00001C080000}"/>
    <hyperlink ref="S1644" r:id="rId2078" xr:uid="{00000000-0004-0000-0200-00001D080000}"/>
    <hyperlink ref="S1645" r:id="rId2079" xr:uid="{00000000-0004-0000-0200-00001E080000}"/>
    <hyperlink ref="G1647" r:id="rId2080" xr:uid="{00000000-0004-0000-0200-00001F080000}"/>
    <hyperlink ref="S1648" r:id="rId2081" xr:uid="{00000000-0004-0000-0200-000020080000}"/>
    <hyperlink ref="F1652" r:id="rId2082" xr:uid="{00000000-0004-0000-0200-000021080000}"/>
    <hyperlink ref="G1652" r:id="rId2083" xr:uid="{00000000-0004-0000-0200-000022080000}"/>
    <hyperlink ref="S1652" r:id="rId2084" xr:uid="{00000000-0004-0000-0200-000023080000}"/>
    <hyperlink ref="F1653" r:id="rId2085" xr:uid="{00000000-0004-0000-0200-000024080000}"/>
    <hyperlink ref="F1654" r:id="rId2086" xr:uid="{00000000-0004-0000-0200-000025080000}"/>
    <hyperlink ref="S1654" r:id="rId2087" xr:uid="{00000000-0004-0000-0200-000026080000}"/>
    <hyperlink ref="F1656" r:id="rId2088" xr:uid="{00000000-0004-0000-0200-000027080000}"/>
    <hyperlink ref="S1656" r:id="rId2089" xr:uid="{00000000-0004-0000-0200-000028080000}"/>
    <hyperlink ref="F1657" r:id="rId2090" xr:uid="{00000000-0004-0000-0200-000029080000}"/>
    <hyperlink ref="G1657" r:id="rId2091" xr:uid="{00000000-0004-0000-0200-00002A080000}"/>
    <hyperlink ref="S1657" r:id="rId2092" xr:uid="{00000000-0004-0000-0200-00002B080000}"/>
    <hyperlink ref="F1659" r:id="rId2093" xr:uid="{00000000-0004-0000-0200-00002C080000}"/>
    <hyperlink ref="S1659" r:id="rId2094" xr:uid="{00000000-0004-0000-0200-00002D080000}"/>
    <hyperlink ref="F1663" r:id="rId2095" xr:uid="{00000000-0004-0000-0200-00002E080000}"/>
    <hyperlink ref="G1663" r:id="rId2096" xr:uid="{00000000-0004-0000-0200-00002F080000}"/>
    <hyperlink ref="S1663" r:id="rId2097" xr:uid="{00000000-0004-0000-0200-000030080000}"/>
    <hyperlink ref="F1664" r:id="rId2098" xr:uid="{00000000-0004-0000-0200-000031080000}"/>
    <hyperlink ref="G1664" r:id="rId2099" xr:uid="{00000000-0004-0000-0200-000032080000}"/>
    <hyperlink ref="S1664" r:id="rId2100" xr:uid="{00000000-0004-0000-0200-000033080000}"/>
    <hyperlink ref="G1667" r:id="rId2101" xr:uid="{00000000-0004-0000-0200-000034080000}"/>
    <hyperlink ref="F1668" r:id="rId2102" xr:uid="{00000000-0004-0000-0200-000035080000}"/>
    <hyperlink ref="S1668" r:id="rId2103" xr:uid="{00000000-0004-0000-0200-000036080000}"/>
    <hyperlink ref="G1670" r:id="rId2104" xr:uid="{00000000-0004-0000-0200-000037080000}"/>
    <hyperlink ref="S1670" r:id="rId2105" xr:uid="{00000000-0004-0000-0200-000038080000}"/>
    <hyperlink ref="S1675" r:id="rId2106" xr:uid="{00000000-0004-0000-0200-000039080000}"/>
    <hyperlink ref="F1676" r:id="rId2107" xr:uid="{00000000-0004-0000-0200-00003A080000}"/>
    <hyperlink ref="G1677" r:id="rId2108" xr:uid="{00000000-0004-0000-0200-00003B080000}"/>
    <hyperlink ref="S1677" r:id="rId2109" xr:uid="{00000000-0004-0000-0200-00003C080000}"/>
    <hyperlink ref="F1679" r:id="rId2110" xr:uid="{00000000-0004-0000-0200-00003D080000}"/>
    <hyperlink ref="S1682" r:id="rId2111" xr:uid="{00000000-0004-0000-0200-00003E080000}"/>
    <hyperlink ref="G1683" r:id="rId2112" xr:uid="{00000000-0004-0000-0200-00003F080000}"/>
    <hyperlink ref="S1684" r:id="rId2113" xr:uid="{00000000-0004-0000-0200-000040080000}"/>
    <hyperlink ref="G1685" r:id="rId2114" xr:uid="{00000000-0004-0000-0200-000041080000}"/>
    <hyperlink ref="F1686" r:id="rId2115" xr:uid="{00000000-0004-0000-0200-000042080000}"/>
    <hyperlink ref="S1686" r:id="rId2116" xr:uid="{00000000-0004-0000-0200-000043080000}"/>
    <hyperlink ref="F1687" r:id="rId2117" xr:uid="{00000000-0004-0000-0200-000044080000}"/>
    <hyperlink ref="G1687" r:id="rId2118" xr:uid="{00000000-0004-0000-0200-000045080000}"/>
    <hyperlink ref="F1688" r:id="rId2119" xr:uid="{00000000-0004-0000-0200-000046080000}"/>
    <hyperlink ref="S1688" r:id="rId2120" xr:uid="{00000000-0004-0000-0200-000047080000}"/>
    <hyperlink ref="G1689" r:id="rId2121" xr:uid="{00000000-0004-0000-0200-000048080000}"/>
    <hyperlink ref="S1689" r:id="rId2122" xr:uid="{00000000-0004-0000-0200-000049080000}"/>
    <hyperlink ref="G1690" r:id="rId2123" xr:uid="{00000000-0004-0000-0200-00004A080000}"/>
    <hyperlink ref="S1690" r:id="rId2124" xr:uid="{00000000-0004-0000-0200-00004B080000}"/>
    <hyperlink ref="F1691" r:id="rId2125" xr:uid="{00000000-0004-0000-0200-00004C080000}"/>
    <hyperlink ref="S1692" r:id="rId2126" xr:uid="{00000000-0004-0000-0200-00004D080000}"/>
    <hyperlink ref="F1693" r:id="rId2127" xr:uid="{00000000-0004-0000-0200-00004E080000}"/>
    <hyperlink ref="G1693" r:id="rId2128" xr:uid="{00000000-0004-0000-0200-00004F080000}"/>
    <hyperlink ref="F1694" r:id="rId2129" xr:uid="{00000000-0004-0000-0200-000050080000}"/>
    <hyperlink ref="F1695" r:id="rId2130" xr:uid="{00000000-0004-0000-0200-000051080000}"/>
    <hyperlink ref="F1696" r:id="rId2131" xr:uid="{00000000-0004-0000-0200-000052080000}"/>
    <hyperlink ref="S1696" r:id="rId2132" xr:uid="{00000000-0004-0000-0200-000053080000}"/>
    <hyperlink ref="F1697" r:id="rId2133" xr:uid="{00000000-0004-0000-0200-000054080000}"/>
    <hyperlink ref="S1697" r:id="rId2134" xr:uid="{00000000-0004-0000-0200-000055080000}"/>
    <hyperlink ref="F1698" r:id="rId2135" xr:uid="{00000000-0004-0000-0200-000056080000}"/>
    <hyperlink ref="S1698" r:id="rId2136" xr:uid="{00000000-0004-0000-0200-000057080000}"/>
    <hyperlink ref="F1701" r:id="rId2137" xr:uid="{00000000-0004-0000-0200-000058080000}"/>
    <hyperlink ref="F1702" r:id="rId2138" xr:uid="{00000000-0004-0000-0200-000059080000}"/>
    <hyperlink ref="F1703" r:id="rId2139" xr:uid="{00000000-0004-0000-0200-00005A080000}"/>
    <hyperlink ref="S1703" r:id="rId2140" xr:uid="{00000000-0004-0000-0200-00005B080000}"/>
    <hyperlink ref="F1704" r:id="rId2141" xr:uid="{00000000-0004-0000-0200-00005C080000}"/>
    <hyperlink ref="G1704" r:id="rId2142" xr:uid="{00000000-0004-0000-0200-00005D080000}"/>
    <hyperlink ref="F1708" r:id="rId2143" xr:uid="{00000000-0004-0000-0200-00005E080000}"/>
    <hyperlink ref="S1708" r:id="rId2144" xr:uid="{00000000-0004-0000-0200-00005F080000}"/>
    <hyperlink ref="F1709" r:id="rId2145" xr:uid="{00000000-0004-0000-0200-000060080000}"/>
    <hyperlink ref="S1709" r:id="rId2146" xr:uid="{00000000-0004-0000-0200-000061080000}"/>
    <hyperlink ref="F1710" r:id="rId2147" location=".XARjqQXnPyI.twitter" xr:uid="{00000000-0004-0000-0200-000062080000}"/>
    <hyperlink ref="S1710" r:id="rId2148" xr:uid="{00000000-0004-0000-0200-000063080000}"/>
    <hyperlink ref="F1711" r:id="rId2149" location="ns_campaign=rrss-inducido&amp;ns_mchannel=abc-es&amp;ns_source=tw&amp;ns_linkname=noticia-foto&amp;ns_fee=0" xr:uid="{00000000-0004-0000-0200-000064080000}"/>
    <hyperlink ref="S1712" r:id="rId2150" xr:uid="{00000000-0004-0000-0200-000065080000}"/>
    <hyperlink ref="F1713" r:id="rId2151" xr:uid="{00000000-0004-0000-0200-000066080000}"/>
    <hyperlink ref="G1713" r:id="rId2152" xr:uid="{00000000-0004-0000-0200-000067080000}"/>
    <hyperlink ref="S1715" r:id="rId2153" xr:uid="{00000000-0004-0000-0200-000068080000}"/>
    <hyperlink ref="F1716" r:id="rId2154" location="ns_campaign=amp-rrss-inducido&amp;ns_mchannel=abc-es&amp;ns_source=tw&amp;ns_linkname=noticia.foto&amp;ns_fee=0" xr:uid="{00000000-0004-0000-0200-000069080000}"/>
    <hyperlink ref="F1718" r:id="rId2155" location="ns_campaign=rrss-inducido&amp;ns_mchannel=abc-es&amp;ns_source=tw&amp;ns_linkname=noticia-foto&amp;ns_fee=0" xr:uid="{00000000-0004-0000-0200-00006A080000}"/>
    <hyperlink ref="S1724" r:id="rId2156" xr:uid="{00000000-0004-0000-0200-00006B080000}"/>
    <hyperlink ref="F1726" r:id="rId2157" xr:uid="{00000000-0004-0000-0200-00006C080000}"/>
    <hyperlink ref="S1727" r:id="rId2158" xr:uid="{00000000-0004-0000-0200-00006D080000}"/>
    <hyperlink ref="F1728" r:id="rId2159" xr:uid="{00000000-0004-0000-0200-00006E080000}"/>
    <hyperlink ref="G1730" r:id="rId2160" xr:uid="{00000000-0004-0000-0200-00006F080000}"/>
    <hyperlink ref="F1731" r:id="rId2161" xr:uid="{00000000-0004-0000-0200-000070080000}"/>
    <hyperlink ref="S1731" r:id="rId2162" xr:uid="{00000000-0004-0000-0200-000071080000}"/>
    <hyperlink ref="S1734" r:id="rId2163" xr:uid="{00000000-0004-0000-0200-000072080000}"/>
    <hyperlink ref="S1735" r:id="rId2164" xr:uid="{00000000-0004-0000-0200-000073080000}"/>
    <hyperlink ref="S1741" r:id="rId2165" xr:uid="{00000000-0004-0000-0200-000074080000}"/>
    <hyperlink ref="G1742" r:id="rId2166" xr:uid="{00000000-0004-0000-0200-000075080000}"/>
    <hyperlink ref="G1743" r:id="rId2167" xr:uid="{00000000-0004-0000-0200-000076080000}"/>
    <hyperlink ref="G1748" r:id="rId2168" xr:uid="{00000000-0004-0000-0200-000077080000}"/>
    <hyperlink ref="S1750" r:id="rId2169" xr:uid="{00000000-0004-0000-0200-000078080000}"/>
    <hyperlink ref="S1751" r:id="rId2170" xr:uid="{00000000-0004-0000-0200-000079080000}"/>
    <hyperlink ref="S1752" r:id="rId2171" xr:uid="{00000000-0004-0000-0200-00007A080000}"/>
    <hyperlink ref="F1755" r:id="rId2172" xr:uid="{00000000-0004-0000-0200-00007B080000}"/>
    <hyperlink ref="S1759" r:id="rId2173" xr:uid="{00000000-0004-0000-0200-00007C080000}"/>
    <hyperlink ref="G1764" r:id="rId2174" xr:uid="{00000000-0004-0000-0200-00007D080000}"/>
    <hyperlink ref="S1767" r:id="rId2175" xr:uid="{00000000-0004-0000-0200-00007E080000}"/>
    <hyperlink ref="S1768" r:id="rId2176" xr:uid="{00000000-0004-0000-0200-00007F080000}"/>
    <hyperlink ref="F1771" r:id="rId2177" xr:uid="{00000000-0004-0000-0200-000080080000}"/>
    <hyperlink ref="G1771" r:id="rId2178" xr:uid="{00000000-0004-0000-0200-000081080000}"/>
    <hyperlink ref="S1771" r:id="rId2179" xr:uid="{00000000-0004-0000-0200-000082080000}"/>
    <hyperlink ref="S1772" r:id="rId2180" xr:uid="{00000000-0004-0000-0200-000083080000}"/>
    <hyperlink ref="S1774" r:id="rId2181" xr:uid="{00000000-0004-0000-0200-000084080000}"/>
    <hyperlink ref="G1775" r:id="rId2182" xr:uid="{00000000-0004-0000-0200-000085080000}"/>
    <hyperlink ref="S1778" r:id="rId2183" xr:uid="{00000000-0004-0000-0200-000086080000}"/>
    <hyperlink ref="S1788" r:id="rId2184" xr:uid="{00000000-0004-0000-0200-000087080000}"/>
    <hyperlink ref="S1794" r:id="rId2185" xr:uid="{00000000-0004-0000-0200-000088080000}"/>
    <hyperlink ref="S1796" r:id="rId2186" xr:uid="{00000000-0004-0000-0200-000089080000}"/>
    <hyperlink ref="F1798" r:id="rId2187" xr:uid="{00000000-0004-0000-0200-00008A080000}"/>
    <hyperlink ref="S1798" r:id="rId2188" xr:uid="{00000000-0004-0000-0200-00008B080000}"/>
    <hyperlink ref="G1799" r:id="rId2189" xr:uid="{00000000-0004-0000-0200-00008C080000}"/>
    <hyperlink ref="S1801" r:id="rId2190" xr:uid="{00000000-0004-0000-0200-00008D080000}"/>
    <hyperlink ref="S1802" r:id="rId2191" xr:uid="{00000000-0004-0000-0200-00008E080000}"/>
    <hyperlink ref="S1804" r:id="rId2192" xr:uid="{00000000-0004-0000-0200-00008F080000}"/>
    <hyperlink ref="S1805" r:id="rId2193" xr:uid="{00000000-0004-0000-0200-000090080000}"/>
    <hyperlink ref="S1807" r:id="rId2194" xr:uid="{00000000-0004-0000-0200-000091080000}"/>
    <hyperlink ref="G1810" r:id="rId2195" xr:uid="{00000000-0004-0000-0200-000092080000}"/>
    <hyperlink ref="S1810" r:id="rId2196" xr:uid="{00000000-0004-0000-0200-000093080000}"/>
    <hyperlink ref="S1812" r:id="rId2197" xr:uid="{00000000-0004-0000-0200-000094080000}"/>
    <hyperlink ref="S1813" r:id="rId2198" xr:uid="{00000000-0004-0000-0200-000095080000}"/>
    <hyperlink ref="G1817" r:id="rId2199" xr:uid="{00000000-0004-0000-0200-000096080000}"/>
    <hyperlink ref="S1817" r:id="rId2200" xr:uid="{00000000-0004-0000-0200-000097080000}"/>
    <hyperlink ref="G1819" r:id="rId2201" xr:uid="{00000000-0004-0000-0200-000098080000}"/>
    <hyperlink ref="S1819" r:id="rId2202" xr:uid="{00000000-0004-0000-0200-000099080000}"/>
    <hyperlink ref="F1820" r:id="rId2203" xr:uid="{00000000-0004-0000-0200-00009A080000}"/>
    <hyperlink ref="G1821" r:id="rId2204" xr:uid="{00000000-0004-0000-0200-00009B080000}"/>
    <hyperlink ref="S1823" r:id="rId2205" xr:uid="{00000000-0004-0000-0200-00009C080000}"/>
    <hyperlink ref="G1824" r:id="rId2206" xr:uid="{00000000-0004-0000-0200-00009D080000}"/>
    <hyperlink ref="S1826" r:id="rId2207" xr:uid="{00000000-0004-0000-0200-00009E080000}"/>
    <hyperlink ref="S1827" r:id="rId2208" xr:uid="{00000000-0004-0000-0200-00009F080000}"/>
    <hyperlink ref="S1829" r:id="rId2209" xr:uid="{00000000-0004-0000-0200-0000A0080000}"/>
    <hyperlink ref="S1831" r:id="rId2210" xr:uid="{00000000-0004-0000-0200-0000A1080000}"/>
    <hyperlink ref="S1835" r:id="rId2211" xr:uid="{00000000-0004-0000-0200-0000A2080000}"/>
    <hyperlink ref="S1836" r:id="rId2212" xr:uid="{00000000-0004-0000-0200-0000A3080000}"/>
    <hyperlink ref="S1838" r:id="rId2213" xr:uid="{00000000-0004-0000-0200-0000A4080000}"/>
    <hyperlink ref="S1839" r:id="rId2214" xr:uid="{00000000-0004-0000-0200-0000A5080000}"/>
    <hyperlink ref="S1841" r:id="rId2215" xr:uid="{00000000-0004-0000-0200-0000A6080000}"/>
    <hyperlink ref="G1843" r:id="rId2216" xr:uid="{00000000-0004-0000-0200-0000A7080000}"/>
    <hyperlink ref="S1843" r:id="rId2217" xr:uid="{00000000-0004-0000-0200-0000A8080000}"/>
    <hyperlink ref="S1845" r:id="rId2218" xr:uid="{00000000-0004-0000-0200-0000A9080000}"/>
    <hyperlink ref="S1848" r:id="rId2219" xr:uid="{00000000-0004-0000-0200-0000AA080000}"/>
    <hyperlink ref="S1849" r:id="rId2220" xr:uid="{00000000-0004-0000-0200-0000AB080000}"/>
    <hyperlink ref="S1851" r:id="rId2221" xr:uid="{00000000-0004-0000-0200-0000AC080000}"/>
    <hyperlink ref="S1853" r:id="rId2222" xr:uid="{00000000-0004-0000-0200-0000AD080000}"/>
    <hyperlink ref="S1857" r:id="rId2223" xr:uid="{00000000-0004-0000-0200-0000AE080000}"/>
    <hyperlink ref="S1859" r:id="rId2224" xr:uid="{00000000-0004-0000-0200-0000AF080000}"/>
    <hyperlink ref="S1862" r:id="rId2225" xr:uid="{00000000-0004-0000-0200-0000B0080000}"/>
    <hyperlink ref="F1863" r:id="rId2226" xr:uid="{00000000-0004-0000-0200-0000B1080000}"/>
    <hyperlink ref="G1868" r:id="rId2227" xr:uid="{00000000-0004-0000-0200-0000B2080000}"/>
    <hyperlink ref="S1868" r:id="rId2228" xr:uid="{00000000-0004-0000-0200-0000B3080000}"/>
    <hyperlink ref="S1869" r:id="rId2229" xr:uid="{00000000-0004-0000-0200-0000B4080000}"/>
    <hyperlink ref="G1870" r:id="rId2230" xr:uid="{00000000-0004-0000-0200-0000B5080000}"/>
    <hyperlink ref="F1874" r:id="rId2231" xr:uid="{00000000-0004-0000-0200-0000B6080000}"/>
    <hyperlink ref="G1874" r:id="rId2232" xr:uid="{00000000-0004-0000-0200-0000B7080000}"/>
    <hyperlink ref="S1874" r:id="rId2233" xr:uid="{00000000-0004-0000-0200-0000B8080000}"/>
    <hyperlink ref="S1876" r:id="rId2234" xr:uid="{00000000-0004-0000-0200-0000B9080000}"/>
    <hyperlink ref="S1878" r:id="rId2235" xr:uid="{00000000-0004-0000-0200-0000BA080000}"/>
    <hyperlink ref="G1881" r:id="rId2236" xr:uid="{00000000-0004-0000-0200-0000BB080000}"/>
    <hyperlink ref="S1882" r:id="rId2237" xr:uid="{00000000-0004-0000-0200-0000BC080000}"/>
    <hyperlink ref="S1883" r:id="rId2238" xr:uid="{00000000-0004-0000-0200-0000BD080000}"/>
    <hyperlink ref="S1885" r:id="rId2239" xr:uid="{00000000-0004-0000-0200-0000BE080000}"/>
    <hyperlink ref="S1890" r:id="rId2240" xr:uid="{00000000-0004-0000-0200-0000BF080000}"/>
    <hyperlink ref="G1891" r:id="rId2241" xr:uid="{00000000-0004-0000-0200-0000C0080000}"/>
    <hyperlink ref="S1896" r:id="rId2242" xr:uid="{00000000-0004-0000-0200-0000C1080000}"/>
    <hyperlink ref="G1899" r:id="rId2243" xr:uid="{00000000-0004-0000-0200-0000C2080000}"/>
    <hyperlink ref="S1899" r:id="rId2244" xr:uid="{00000000-0004-0000-0200-0000C3080000}"/>
    <hyperlink ref="S1900" r:id="rId2245" xr:uid="{00000000-0004-0000-0200-0000C4080000}"/>
    <hyperlink ref="S1902" r:id="rId2246" xr:uid="{00000000-0004-0000-0200-0000C5080000}"/>
    <hyperlink ref="S1904" r:id="rId2247" xr:uid="{00000000-0004-0000-0200-0000C6080000}"/>
    <hyperlink ref="S1907" r:id="rId2248" xr:uid="{00000000-0004-0000-0200-0000C7080000}"/>
    <hyperlink ref="S1910" r:id="rId2249" xr:uid="{00000000-0004-0000-0200-0000C8080000}"/>
    <hyperlink ref="S1911" r:id="rId2250" xr:uid="{00000000-0004-0000-0200-0000C9080000}"/>
    <hyperlink ref="S1912" r:id="rId2251" xr:uid="{00000000-0004-0000-0200-0000CA080000}"/>
    <hyperlink ref="G1913" r:id="rId2252" xr:uid="{00000000-0004-0000-0200-0000CB080000}"/>
    <hyperlink ref="S1913" r:id="rId2253" xr:uid="{00000000-0004-0000-0200-0000CC080000}"/>
    <hyperlink ref="S1915" r:id="rId2254" xr:uid="{00000000-0004-0000-0200-0000CD080000}"/>
    <hyperlink ref="S1916" r:id="rId2255" xr:uid="{00000000-0004-0000-0200-0000CE080000}"/>
    <hyperlink ref="F1919" r:id="rId2256" xr:uid="{00000000-0004-0000-0200-0000CF080000}"/>
    <hyperlink ref="G1920" r:id="rId2257" xr:uid="{00000000-0004-0000-0200-0000D0080000}"/>
    <hyperlink ref="S1922" r:id="rId2258" xr:uid="{00000000-0004-0000-0200-0000D1080000}"/>
    <hyperlink ref="F1927" r:id="rId2259" xr:uid="{00000000-0004-0000-0200-0000D2080000}"/>
    <hyperlink ref="G1927" r:id="rId2260" xr:uid="{00000000-0004-0000-0200-0000D3080000}"/>
    <hyperlink ref="S1927" r:id="rId2261" xr:uid="{00000000-0004-0000-0200-0000D4080000}"/>
    <hyperlink ref="S1928" r:id="rId2262" xr:uid="{00000000-0004-0000-0200-0000D5080000}"/>
    <hyperlink ref="S1931" r:id="rId2263" xr:uid="{00000000-0004-0000-0200-0000D6080000}"/>
    <hyperlink ref="S1933" r:id="rId2264" xr:uid="{00000000-0004-0000-0200-0000D7080000}"/>
    <hyperlink ref="S1936" r:id="rId2265" xr:uid="{00000000-0004-0000-0200-0000D8080000}"/>
    <hyperlink ref="S1937" r:id="rId2266" xr:uid="{00000000-0004-0000-0200-0000D9080000}"/>
    <hyperlink ref="S1938" r:id="rId2267" xr:uid="{00000000-0004-0000-0200-0000DA080000}"/>
    <hyperlink ref="S1939" r:id="rId2268" xr:uid="{00000000-0004-0000-0200-0000DB080000}"/>
    <hyperlink ref="S1940" r:id="rId2269" xr:uid="{00000000-0004-0000-0200-0000DC080000}"/>
    <hyperlink ref="S1941" r:id="rId2270" xr:uid="{00000000-0004-0000-0200-0000DD080000}"/>
    <hyperlink ref="S1945" r:id="rId2271" xr:uid="{00000000-0004-0000-0200-0000DE080000}"/>
    <hyperlink ref="S1946" r:id="rId2272" xr:uid="{00000000-0004-0000-0200-0000DF080000}"/>
    <hyperlink ref="G1947" r:id="rId2273" xr:uid="{00000000-0004-0000-0200-0000E0080000}"/>
    <hyperlink ref="S1948" r:id="rId2274" xr:uid="{00000000-0004-0000-0200-0000E1080000}"/>
    <hyperlink ref="S1957" r:id="rId2275" xr:uid="{00000000-0004-0000-0200-0000E2080000}"/>
    <hyperlink ref="S1959" r:id="rId2276" xr:uid="{00000000-0004-0000-0200-0000E3080000}"/>
    <hyperlink ref="G1960" r:id="rId2277" xr:uid="{00000000-0004-0000-0200-0000E4080000}"/>
    <hyperlink ref="G1969" r:id="rId2278" xr:uid="{00000000-0004-0000-0200-0000E5080000}"/>
    <hyperlink ref="S1971" r:id="rId2279" xr:uid="{00000000-0004-0000-0200-0000E6080000}"/>
    <hyperlink ref="S1972" r:id="rId2280" xr:uid="{00000000-0004-0000-0200-0000E7080000}"/>
    <hyperlink ref="G1973" r:id="rId2281" xr:uid="{00000000-0004-0000-0200-0000E8080000}"/>
    <hyperlink ref="G1974" r:id="rId2282" xr:uid="{00000000-0004-0000-0200-0000E9080000}"/>
    <hyperlink ref="S1974" r:id="rId2283" xr:uid="{00000000-0004-0000-0200-0000EA080000}"/>
    <hyperlink ref="G1976" r:id="rId2284" xr:uid="{00000000-0004-0000-0200-0000EB080000}"/>
    <hyperlink ref="S1976" r:id="rId2285" xr:uid="{00000000-0004-0000-0200-0000EC080000}"/>
    <hyperlink ref="F1977" r:id="rId2286" xr:uid="{00000000-0004-0000-0200-0000ED080000}"/>
    <hyperlink ref="S1977" r:id="rId2287" xr:uid="{00000000-0004-0000-0200-0000EE080000}"/>
    <hyperlink ref="S1980" r:id="rId2288" xr:uid="{00000000-0004-0000-0200-0000EF080000}"/>
    <hyperlink ref="S1982" r:id="rId2289" xr:uid="{00000000-0004-0000-0200-0000F0080000}"/>
    <hyperlink ref="S1983" r:id="rId2290" xr:uid="{00000000-0004-0000-0200-0000F1080000}"/>
    <hyperlink ref="S1984" r:id="rId2291" xr:uid="{00000000-0004-0000-0200-0000F2080000}"/>
    <hyperlink ref="S1985" r:id="rId2292" xr:uid="{00000000-0004-0000-0200-0000F3080000}"/>
    <hyperlink ref="F1987" r:id="rId2293" xr:uid="{00000000-0004-0000-0200-0000F4080000}"/>
    <hyperlink ref="S1988" r:id="rId2294" xr:uid="{00000000-0004-0000-0200-0000F5080000}"/>
    <hyperlink ref="F1990" r:id="rId2295" xr:uid="{00000000-0004-0000-0200-0000F6080000}"/>
    <hyperlink ref="G1990" r:id="rId2296" xr:uid="{00000000-0004-0000-0200-0000F7080000}"/>
    <hyperlink ref="S1990" r:id="rId2297" xr:uid="{00000000-0004-0000-0200-0000F8080000}"/>
    <hyperlink ref="S1993" r:id="rId2298" xr:uid="{00000000-0004-0000-0200-0000F9080000}"/>
    <hyperlink ref="S1996" r:id="rId2299" xr:uid="{00000000-0004-0000-0200-0000FA080000}"/>
    <hyperlink ref="G1997" r:id="rId2300" xr:uid="{00000000-0004-0000-0200-0000FB080000}"/>
    <hyperlink ref="S1997" r:id="rId2301" xr:uid="{00000000-0004-0000-0200-0000FC080000}"/>
    <hyperlink ref="S2005" r:id="rId2302" xr:uid="{00000000-0004-0000-0200-0000FD080000}"/>
    <hyperlink ref="S2006" r:id="rId2303" xr:uid="{00000000-0004-0000-0200-0000FE080000}"/>
    <hyperlink ref="S2007" r:id="rId2304" xr:uid="{00000000-0004-0000-0200-0000FF080000}"/>
    <hyperlink ref="G2009" r:id="rId2305" xr:uid="{00000000-0004-0000-0200-000000090000}"/>
    <hyperlink ref="S2009" r:id="rId2306" xr:uid="{00000000-0004-0000-0200-000001090000}"/>
    <hyperlink ref="S2013" r:id="rId2307" xr:uid="{00000000-0004-0000-0200-000002090000}"/>
    <hyperlink ref="S2018" r:id="rId2308" xr:uid="{00000000-0004-0000-0200-000003090000}"/>
    <hyperlink ref="S2020" r:id="rId2309" xr:uid="{00000000-0004-0000-0200-000004090000}"/>
    <hyperlink ref="S2021" r:id="rId2310" xr:uid="{00000000-0004-0000-0200-000005090000}"/>
    <hyperlink ref="G2024" r:id="rId2311" xr:uid="{00000000-0004-0000-0200-000006090000}"/>
    <hyperlink ref="S2027" r:id="rId2312" xr:uid="{00000000-0004-0000-0200-000007090000}"/>
    <hyperlink ref="S2028" r:id="rId2313" xr:uid="{00000000-0004-0000-0200-000008090000}"/>
    <hyperlink ref="S2029" r:id="rId2314" xr:uid="{00000000-0004-0000-0200-000009090000}"/>
    <hyperlink ref="S2032" r:id="rId2315" xr:uid="{00000000-0004-0000-0200-00000A090000}"/>
    <hyperlink ref="S2035" r:id="rId2316" xr:uid="{00000000-0004-0000-0200-00000B090000}"/>
    <hyperlink ref="S2036" r:id="rId2317" xr:uid="{00000000-0004-0000-0200-00000C090000}"/>
    <hyperlink ref="S2038" r:id="rId2318" xr:uid="{00000000-0004-0000-0200-00000D090000}"/>
    <hyperlink ref="S2040" r:id="rId2319" xr:uid="{00000000-0004-0000-0200-00000E090000}"/>
    <hyperlink ref="G2041" r:id="rId2320" xr:uid="{00000000-0004-0000-0200-00000F090000}"/>
    <hyperlink ref="S2041" r:id="rId2321" xr:uid="{00000000-0004-0000-0200-000010090000}"/>
    <hyperlink ref="F2042" r:id="rId2322" xr:uid="{00000000-0004-0000-0200-000011090000}"/>
    <hyperlink ref="S2042" r:id="rId2323" xr:uid="{00000000-0004-0000-0200-000012090000}"/>
    <hyperlink ref="S2043" r:id="rId2324" xr:uid="{00000000-0004-0000-0200-000013090000}"/>
    <hyperlink ref="S2044" r:id="rId2325" xr:uid="{00000000-0004-0000-0200-000014090000}"/>
    <hyperlink ref="S2045" r:id="rId2326" xr:uid="{00000000-0004-0000-0200-000015090000}"/>
    <hyperlink ref="S2047" r:id="rId2327" xr:uid="{00000000-0004-0000-0200-000016090000}"/>
    <hyperlink ref="S2050" r:id="rId2328" xr:uid="{00000000-0004-0000-0200-000017090000}"/>
    <hyperlink ref="G2053" r:id="rId2329" xr:uid="{00000000-0004-0000-0200-000018090000}"/>
    <hyperlink ref="F2054" r:id="rId2330" location=".XARZR9qoEj0.twitter" xr:uid="{00000000-0004-0000-0200-000019090000}"/>
    <hyperlink ref="S2054" r:id="rId2331" xr:uid="{00000000-0004-0000-0200-00001A090000}"/>
    <hyperlink ref="S2056" r:id="rId2332" xr:uid="{00000000-0004-0000-0200-00001B090000}"/>
    <hyperlink ref="F2059" r:id="rId2333" xr:uid="{00000000-0004-0000-0200-00001C090000}"/>
    <hyperlink ref="G2059" r:id="rId2334" xr:uid="{00000000-0004-0000-0200-00001D090000}"/>
    <hyperlink ref="S2059" r:id="rId2335" xr:uid="{00000000-0004-0000-0200-00001E090000}"/>
    <hyperlink ref="F2060" r:id="rId2336" xr:uid="{00000000-0004-0000-0200-00001F090000}"/>
    <hyperlink ref="S2060" r:id="rId2337" xr:uid="{00000000-0004-0000-0200-000020090000}"/>
    <hyperlink ref="F2061" r:id="rId2338" xr:uid="{00000000-0004-0000-0200-000021090000}"/>
    <hyperlink ref="S2061" r:id="rId2339" xr:uid="{00000000-0004-0000-0200-000022090000}"/>
    <hyperlink ref="F2062" r:id="rId2340" xr:uid="{00000000-0004-0000-0200-000023090000}"/>
    <hyperlink ref="S2063" r:id="rId2341" xr:uid="{00000000-0004-0000-0200-000024090000}"/>
    <hyperlink ref="F2065" r:id="rId2342" xr:uid="{00000000-0004-0000-0200-000025090000}"/>
    <hyperlink ref="G2065" r:id="rId2343" xr:uid="{00000000-0004-0000-0200-000026090000}"/>
    <hyperlink ref="S2065" r:id="rId2344" xr:uid="{00000000-0004-0000-0200-000027090000}"/>
    <hyperlink ref="S2067" r:id="rId2345" xr:uid="{00000000-0004-0000-0200-000028090000}"/>
    <hyperlink ref="F2069" r:id="rId2346" xr:uid="{00000000-0004-0000-0200-000029090000}"/>
    <hyperlink ref="S2069" r:id="rId2347" xr:uid="{00000000-0004-0000-0200-00002A090000}"/>
    <hyperlink ref="F2072" r:id="rId2348" xr:uid="{00000000-0004-0000-0200-00002B090000}"/>
    <hyperlink ref="S2072" r:id="rId2349" xr:uid="{00000000-0004-0000-0200-00002C090000}"/>
    <hyperlink ref="F2075" r:id="rId2350" xr:uid="{00000000-0004-0000-0200-00002D090000}"/>
    <hyperlink ref="G2075" r:id="rId2351" xr:uid="{00000000-0004-0000-0200-00002E090000}"/>
    <hyperlink ref="S2077" r:id="rId2352" xr:uid="{00000000-0004-0000-0200-00002F090000}"/>
    <hyperlink ref="S2079" r:id="rId2353" xr:uid="{00000000-0004-0000-0200-000030090000}"/>
    <hyperlink ref="F2080" r:id="rId2354" xr:uid="{00000000-0004-0000-0200-000031090000}"/>
    <hyperlink ref="G2080" r:id="rId2355" xr:uid="{00000000-0004-0000-0200-000032090000}"/>
    <hyperlink ref="S2080" r:id="rId2356" xr:uid="{00000000-0004-0000-0200-000033090000}"/>
    <hyperlink ref="S2082" r:id="rId2357" xr:uid="{00000000-0004-0000-0200-000034090000}"/>
    <hyperlink ref="S2083" r:id="rId2358" xr:uid="{00000000-0004-0000-0200-000035090000}"/>
    <hyperlink ref="G2086" r:id="rId2359" xr:uid="{00000000-0004-0000-0200-000036090000}"/>
    <hyperlink ref="F2087" r:id="rId2360" xr:uid="{00000000-0004-0000-0200-000037090000}"/>
    <hyperlink ref="F2088" r:id="rId2361" xr:uid="{00000000-0004-0000-0200-000038090000}"/>
    <hyperlink ref="F2091" r:id="rId2362" xr:uid="{00000000-0004-0000-0200-000039090000}"/>
    <hyperlink ref="S2092" r:id="rId2363" xr:uid="{00000000-0004-0000-0200-00003A090000}"/>
    <hyperlink ref="S2094" r:id="rId2364" xr:uid="{00000000-0004-0000-0200-00003B090000}"/>
    <hyperlink ref="F2099" r:id="rId2365" xr:uid="{00000000-0004-0000-0200-00003C090000}"/>
    <hyperlink ref="F2103" r:id="rId2366" xr:uid="{00000000-0004-0000-0200-00003D090000}"/>
    <hyperlink ref="S2103" r:id="rId2367" xr:uid="{00000000-0004-0000-0200-00003E090000}"/>
    <hyperlink ref="F2104" r:id="rId2368" xr:uid="{00000000-0004-0000-0200-00003F090000}"/>
    <hyperlink ref="S2104" r:id="rId2369" xr:uid="{00000000-0004-0000-0200-000040090000}"/>
    <hyperlink ref="S2105" r:id="rId2370" xr:uid="{00000000-0004-0000-0200-000041090000}"/>
    <hyperlink ref="F2108" r:id="rId2371" xr:uid="{00000000-0004-0000-0200-000042090000}"/>
    <hyperlink ref="G2108" r:id="rId2372" xr:uid="{00000000-0004-0000-0200-000043090000}"/>
    <hyperlink ref="S2108" r:id="rId2373" xr:uid="{00000000-0004-0000-0200-000044090000}"/>
    <hyperlink ref="F2110" r:id="rId2374" xr:uid="{00000000-0004-0000-0200-000045090000}"/>
    <hyperlink ref="S2111" r:id="rId2375" xr:uid="{00000000-0004-0000-0200-000046090000}"/>
    <hyperlink ref="S2112" r:id="rId2376" xr:uid="{00000000-0004-0000-0200-000047090000}"/>
    <hyperlink ref="F2116" r:id="rId2377" xr:uid="{00000000-0004-0000-0200-000048090000}"/>
    <hyperlink ref="S2116" r:id="rId2378" xr:uid="{00000000-0004-0000-0200-000049090000}"/>
    <hyperlink ref="S2125" r:id="rId2379" xr:uid="{00000000-0004-0000-0200-00004A090000}"/>
    <hyperlink ref="F2126" r:id="rId2380" xr:uid="{00000000-0004-0000-0200-00004B090000}"/>
    <hyperlink ref="S2126" r:id="rId2381" xr:uid="{00000000-0004-0000-0200-00004C090000}"/>
    <hyperlink ref="C2131" r:id="rId2382" xr:uid="{00000000-0004-0000-0200-00004D090000}"/>
    <hyperlink ref="F2131" r:id="rId2383" xr:uid="{00000000-0004-0000-0200-00004E090000}"/>
    <hyperlink ref="S2131" r:id="rId2384" xr:uid="{00000000-0004-0000-0200-00004F090000}"/>
    <hyperlink ref="G2133" r:id="rId2385" xr:uid="{00000000-0004-0000-0200-000050090000}"/>
    <hyperlink ref="S2133" r:id="rId2386" xr:uid="{00000000-0004-0000-0200-000051090000}"/>
    <hyperlink ref="S2136" r:id="rId2387" xr:uid="{00000000-0004-0000-0200-000052090000}"/>
    <hyperlink ref="S2139" r:id="rId2388" xr:uid="{00000000-0004-0000-0200-000053090000}"/>
    <hyperlink ref="S2144" r:id="rId2389" xr:uid="{00000000-0004-0000-0200-000054090000}"/>
    <hyperlink ref="S2147" r:id="rId2390" xr:uid="{00000000-0004-0000-0200-000055090000}"/>
    <hyperlink ref="F2148" r:id="rId2391" xr:uid="{00000000-0004-0000-0200-000056090000}"/>
    <hyperlink ref="S2150" r:id="rId2392" xr:uid="{00000000-0004-0000-0200-000057090000}"/>
    <hyperlink ref="F2151" r:id="rId2393" xr:uid="{00000000-0004-0000-0200-000058090000}"/>
    <hyperlink ref="S2151" r:id="rId2394" xr:uid="{00000000-0004-0000-0200-000059090000}"/>
    <hyperlink ref="F2152" r:id="rId2395" xr:uid="{00000000-0004-0000-0200-00005A090000}"/>
    <hyperlink ref="G2152" r:id="rId2396" xr:uid="{00000000-0004-0000-0200-00005B090000}"/>
    <hyperlink ref="S2152" r:id="rId2397" xr:uid="{00000000-0004-0000-0200-00005C090000}"/>
    <hyperlink ref="F2153" r:id="rId2398" xr:uid="{00000000-0004-0000-0200-00005D090000}"/>
    <hyperlink ref="F2154" r:id="rId2399" xr:uid="{00000000-0004-0000-0200-00005E090000}"/>
    <hyperlink ref="S2155" r:id="rId2400" xr:uid="{00000000-0004-0000-0200-00005F090000}"/>
    <hyperlink ref="F2156" r:id="rId2401" xr:uid="{00000000-0004-0000-0200-000060090000}"/>
    <hyperlink ref="S2156" r:id="rId2402" xr:uid="{00000000-0004-0000-0200-000061090000}"/>
    <hyperlink ref="F2158" r:id="rId2403" xr:uid="{00000000-0004-0000-0200-000062090000}"/>
    <hyperlink ref="G2158" r:id="rId2404" xr:uid="{00000000-0004-0000-0200-000063090000}"/>
    <hyperlink ref="S2158" r:id="rId2405" xr:uid="{00000000-0004-0000-0200-000064090000}"/>
    <hyperlink ref="F2159" r:id="rId2406" xr:uid="{00000000-0004-0000-0200-000065090000}"/>
    <hyperlink ref="S2159" r:id="rId2407" xr:uid="{00000000-0004-0000-0200-000066090000}"/>
    <hyperlink ref="F2160" r:id="rId2408" xr:uid="{00000000-0004-0000-0200-000067090000}"/>
    <hyperlink ref="S2160" r:id="rId2409" xr:uid="{00000000-0004-0000-0200-000068090000}"/>
    <hyperlink ref="F2162" r:id="rId2410" xr:uid="{00000000-0004-0000-0200-000069090000}"/>
    <hyperlink ref="G2162" r:id="rId2411" xr:uid="{00000000-0004-0000-0200-00006A090000}"/>
    <hyperlink ref="F2163" r:id="rId2412" xr:uid="{00000000-0004-0000-0200-00006B090000}"/>
    <hyperlink ref="S2163" r:id="rId2413" xr:uid="{00000000-0004-0000-0200-00006C090000}"/>
    <hyperlink ref="F2164" r:id="rId2414" xr:uid="{00000000-0004-0000-0200-00006D090000}"/>
    <hyperlink ref="G2164" r:id="rId2415" xr:uid="{00000000-0004-0000-0200-00006E090000}"/>
    <hyperlink ref="S2164" r:id="rId2416" xr:uid="{00000000-0004-0000-0200-00006F090000}"/>
    <hyperlink ref="S2165" r:id="rId2417" xr:uid="{00000000-0004-0000-0200-000070090000}"/>
    <hyperlink ref="S2166" r:id="rId2418" xr:uid="{00000000-0004-0000-0200-000071090000}"/>
    <hyperlink ref="Q2169" r:id="rId2419" xr:uid="{00000000-0004-0000-0200-000072090000}"/>
    <hyperlink ref="S2169" r:id="rId2420" xr:uid="{00000000-0004-0000-0200-000073090000}"/>
    <hyperlink ref="G2175" r:id="rId2421" xr:uid="{00000000-0004-0000-0200-000074090000}"/>
    <hyperlink ref="S2175" r:id="rId2422" xr:uid="{00000000-0004-0000-0200-000075090000}"/>
    <hyperlink ref="F2176" r:id="rId2423" xr:uid="{00000000-0004-0000-0200-000076090000}"/>
    <hyperlink ref="S2176" r:id="rId2424" xr:uid="{00000000-0004-0000-0200-000077090000}"/>
    <hyperlink ref="F2178" r:id="rId2425" xr:uid="{00000000-0004-0000-0200-000078090000}"/>
    <hyperlink ref="S2178" r:id="rId2426" xr:uid="{00000000-0004-0000-0200-000079090000}"/>
    <hyperlink ref="G2179" r:id="rId2427" xr:uid="{00000000-0004-0000-0200-00007A090000}"/>
    <hyperlink ref="G2181" r:id="rId2428" xr:uid="{00000000-0004-0000-0200-00007B090000}"/>
    <hyperlink ref="G2182" r:id="rId2429" xr:uid="{00000000-0004-0000-0200-00007C090000}"/>
    <hyperlink ref="S2182" r:id="rId2430" xr:uid="{00000000-0004-0000-0200-00007D090000}"/>
    <hyperlink ref="F2183" r:id="rId2431" xr:uid="{00000000-0004-0000-0200-00007E090000}"/>
    <hyperlink ref="F2185" r:id="rId2432" xr:uid="{00000000-0004-0000-0200-00007F090000}"/>
    <hyperlink ref="F2186" r:id="rId2433" xr:uid="{00000000-0004-0000-0200-000080090000}"/>
    <hyperlink ref="S2186" r:id="rId2434" xr:uid="{00000000-0004-0000-0200-000081090000}"/>
    <hyperlink ref="F2187" r:id="rId2435" xr:uid="{00000000-0004-0000-0200-000082090000}"/>
    <hyperlink ref="S2187" r:id="rId2436" xr:uid="{00000000-0004-0000-0200-000083090000}"/>
    <hyperlink ref="S2190" r:id="rId2437" xr:uid="{00000000-0004-0000-0200-000084090000}"/>
    <hyperlink ref="F2192" r:id="rId2438" xr:uid="{00000000-0004-0000-0200-000085090000}"/>
    <hyperlink ref="S2192" r:id="rId2439" xr:uid="{00000000-0004-0000-0200-000086090000}"/>
    <hyperlink ref="F2195" r:id="rId2440" xr:uid="{00000000-0004-0000-0200-000087090000}"/>
    <hyperlink ref="S2195" r:id="rId2441" xr:uid="{00000000-0004-0000-0200-000088090000}"/>
    <hyperlink ref="F2196" r:id="rId2442" xr:uid="{00000000-0004-0000-0200-000089090000}"/>
    <hyperlink ref="S2196" r:id="rId2443" xr:uid="{00000000-0004-0000-0200-00008A090000}"/>
    <hyperlink ref="F2197" r:id="rId2444" xr:uid="{00000000-0004-0000-0200-00008B090000}"/>
    <hyperlink ref="S2197" r:id="rId2445" xr:uid="{00000000-0004-0000-0200-00008C090000}"/>
    <hyperlink ref="G2198" r:id="rId2446" xr:uid="{00000000-0004-0000-0200-00008D090000}"/>
    <hyperlink ref="F2199" r:id="rId2447" xr:uid="{00000000-0004-0000-0200-00008E090000}"/>
    <hyperlink ref="G2199" r:id="rId2448" xr:uid="{00000000-0004-0000-0200-00008F090000}"/>
    <hyperlink ref="S2199" r:id="rId2449" xr:uid="{00000000-0004-0000-0200-000090090000}"/>
    <hyperlink ref="S2200" r:id="rId2450" xr:uid="{00000000-0004-0000-0200-000091090000}"/>
    <hyperlink ref="S2202" r:id="rId2451" xr:uid="{00000000-0004-0000-0200-000092090000}"/>
    <hyperlink ref="F2203" r:id="rId2452" xr:uid="{00000000-0004-0000-0200-000093090000}"/>
    <hyperlink ref="S2203" r:id="rId2453" xr:uid="{00000000-0004-0000-0200-000094090000}"/>
    <hyperlink ref="F2204" r:id="rId2454" xr:uid="{00000000-0004-0000-0200-000095090000}"/>
    <hyperlink ref="S2204" r:id="rId2455" xr:uid="{00000000-0004-0000-0200-000096090000}"/>
    <hyperlink ref="F2205" r:id="rId2456" xr:uid="{00000000-0004-0000-0200-000097090000}"/>
    <hyperlink ref="F2206" r:id="rId2457" xr:uid="{00000000-0004-0000-0200-000098090000}"/>
    <hyperlink ref="S2206" r:id="rId2458" xr:uid="{00000000-0004-0000-0200-000099090000}"/>
    <hyperlink ref="G2208" r:id="rId2459" xr:uid="{00000000-0004-0000-0200-00009A090000}"/>
    <hyperlink ref="G2209" r:id="rId2460" xr:uid="{00000000-0004-0000-0200-00009B090000}"/>
    <hyperlink ref="F2210" r:id="rId2461" xr:uid="{00000000-0004-0000-0200-00009C090000}"/>
    <hyperlink ref="S2210" r:id="rId2462" xr:uid="{00000000-0004-0000-0200-00009D090000}"/>
    <hyperlink ref="F2211" r:id="rId2463" xr:uid="{00000000-0004-0000-0200-00009E090000}"/>
    <hyperlink ref="G2211" r:id="rId2464" xr:uid="{00000000-0004-0000-0200-00009F090000}"/>
    <hyperlink ref="F2212" r:id="rId2465" xr:uid="{00000000-0004-0000-0200-0000A0090000}"/>
    <hyperlink ref="S2212" r:id="rId2466" xr:uid="{00000000-0004-0000-0200-0000A1090000}"/>
    <hyperlink ref="F2213" r:id="rId2467" xr:uid="{00000000-0004-0000-0200-0000A2090000}"/>
    <hyperlink ref="G2213" r:id="rId2468" xr:uid="{00000000-0004-0000-0200-0000A3090000}"/>
    <hyperlink ref="F2214" r:id="rId2469" xr:uid="{00000000-0004-0000-0200-0000A4090000}"/>
    <hyperlink ref="G2214" r:id="rId2470" xr:uid="{00000000-0004-0000-0200-0000A5090000}"/>
    <hyperlink ref="F2216" r:id="rId2471" xr:uid="{00000000-0004-0000-0200-0000A6090000}"/>
    <hyperlink ref="G2216" r:id="rId2472" xr:uid="{00000000-0004-0000-0200-0000A7090000}"/>
    <hyperlink ref="S2216" r:id="rId2473" xr:uid="{00000000-0004-0000-0200-0000A8090000}"/>
    <hyperlink ref="F2218" r:id="rId2474" xr:uid="{00000000-0004-0000-0200-0000A9090000}"/>
    <hyperlink ref="G2218" r:id="rId2475" xr:uid="{00000000-0004-0000-0200-0000AA090000}"/>
    <hyperlink ref="S2218" r:id="rId2476" xr:uid="{00000000-0004-0000-0200-0000AB090000}"/>
    <hyperlink ref="F2219" r:id="rId2477" xr:uid="{00000000-0004-0000-0200-0000AC090000}"/>
    <hyperlink ref="G2219" r:id="rId2478" xr:uid="{00000000-0004-0000-0200-0000AD090000}"/>
    <hyperlink ref="F2220" r:id="rId2479" xr:uid="{00000000-0004-0000-0200-0000AE090000}"/>
    <hyperlink ref="G2220" r:id="rId2480" xr:uid="{00000000-0004-0000-0200-0000AF090000}"/>
    <hyperlink ref="S2220" r:id="rId2481" xr:uid="{00000000-0004-0000-0200-0000B0090000}"/>
    <hyperlink ref="G2221" r:id="rId2482" xr:uid="{00000000-0004-0000-0200-0000B1090000}"/>
    <hyperlink ref="S2221" r:id="rId2483" xr:uid="{00000000-0004-0000-0200-0000B2090000}"/>
    <hyperlink ref="F2222" r:id="rId2484" xr:uid="{00000000-0004-0000-0200-0000B3090000}"/>
    <hyperlink ref="S2222" r:id="rId2485" xr:uid="{00000000-0004-0000-0200-0000B4090000}"/>
    <hyperlink ref="F2223" r:id="rId2486" xr:uid="{00000000-0004-0000-0200-0000B5090000}"/>
    <hyperlink ref="F2224" r:id="rId2487" xr:uid="{00000000-0004-0000-0200-0000B6090000}"/>
    <hyperlink ref="G2224" r:id="rId2488" xr:uid="{00000000-0004-0000-0200-0000B7090000}"/>
    <hyperlink ref="S2224" r:id="rId2489" xr:uid="{00000000-0004-0000-0200-0000B8090000}"/>
    <hyperlink ref="F2228" r:id="rId2490" xr:uid="{00000000-0004-0000-0200-0000B9090000}"/>
    <hyperlink ref="G2228" r:id="rId2491" xr:uid="{00000000-0004-0000-0200-0000BA090000}"/>
    <hyperlink ref="F2229" r:id="rId2492" xr:uid="{00000000-0004-0000-0200-0000BB090000}"/>
    <hyperlink ref="S2229" r:id="rId2493" xr:uid="{00000000-0004-0000-0200-0000BC090000}"/>
    <hyperlink ref="F2230" r:id="rId2494" xr:uid="{00000000-0004-0000-0200-0000BD090000}"/>
    <hyperlink ref="S2230" r:id="rId2495" xr:uid="{00000000-0004-0000-0200-0000BE090000}"/>
    <hyperlink ref="F2231" r:id="rId2496" xr:uid="{00000000-0004-0000-0200-0000BF090000}"/>
    <hyperlink ref="F2232" r:id="rId2497" xr:uid="{00000000-0004-0000-0200-0000C0090000}"/>
    <hyperlink ref="G2232" r:id="rId2498" xr:uid="{00000000-0004-0000-0200-0000C1090000}"/>
    <hyperlink ref="F2234" r:id="rId2499" xr:uid="{00000000-0004-0000-0200-0000C2090000}"/>
    <hyperlink ref="F2236" r:id="rId2500" xr:uid="{00000000-0004-0000-0200-0000C3090000}"/>
    <hyperlink ref="F2238" r:id="rId2501" xr:uid="{00000000-0004-0000-0200-0000C4090000}"/>
    <hyperlink ref="S2238" r:id="rId2502" xr:uid="{00000000-0004-0000-0200-0000C5090000}"/>
    <hyperlink ref="F2239" r:id="rId2503" xr:uid="{00000000-0004-0000-0200-0000C6090000}"/>
    <hyperlink ref="S2239" r:id="rId2504" xr:uid="{00000000-0004-0000-0200-0000C7090000}"/>
    <hyperlink ref="F2240" r:id="rId2505" xr:uid="{00000000-0004-0000-0200-0000C8090000}"/>
    <hyperlink ref="S2240" r:id="rId2506" xr:uid="{00000000-0004-0000-0200-0000C9090000}"/>
    <hyperlink ref="C2241" r:id="rId2507" xr:uid="{00000000-0004-0000-0200-0000CA090000}"/>
    <hyperlink ref="F2241" r:id="rId2508" xr:uid="{00000000-0004-0000-0200-0000CB090000}"/>
    <hyperlink ref="S2241" r:id="rId2509" xr:uid="{00000000-0004-0000-0200-0000CC090000}"/>
    <hyperlink ref="F2242" r:id="rId2510" xr:uid="{00000000-0004-0000-0200-0000CD090000}"/>
    <hyperlink ref="F2247" r:id="rId2511" xr:uid="{00000000-0004-0000-0200-0000CE090000}"/>
    <hyperlink ref="G2247" r:id="rId2512" xr:uid="{00000000-0004-0000-0200-0000CF090000}"/>
    <hyperlink ref="F2248" r:id="rId2513" xr:uid="{00000000-0004-0000-0200-0000D0090000}"/>
    <hyperlink ref="S2248" r:id="rId2514" xr:uid="{00000000-0004-0000-0200-0000D1090000}"/>
    <hyperlink ref="F2252" r:id="rId2515" xr:uid="{00000000-0004-0000-0200-0000D2090000}"/>
    <hyperlink ref="F2253" r:id="rId2516" xr:uid="{00000000-0004-0000-0200-0000D3090000}"/>
    <hyperlink ref="S2253" r:id="rId2517" xr:uid="{00000000-0004-0000-0200-0000D4090000}"/>
    <hyperlink ref="F2254" r:id="rId2518" xr:uid="{00000000-0004-0000-0200-0000D5090000}"/>
    <hyperlink ref="S2254" r:id="rId2519" xr:uid="{00000000-0004-0000-0200-0000D6090000}"/>
    <hyperlink ref="G2255" r:id="rId2520" xr:uid="{00000000-0004-0000-0200-0000D7090000}"/>
    <hyperlink ref="F2256" r:id="rId2521" xr:uid="{00000000-0004-0000-0200-0000D8090000}"/>
    <hyperlink ref="G2256" r:id="rId2522" xr:uid="{00000000-0004-0000-0200-0000D9090000}"/>
    <hyperlink ref="S2256" r:id="rId2523" xr:uid="{00000000-0004-0000-0200-0000DA090000}"/>
    <hyperlink ref="F2257" r:id="rId2524" xr:uid="{00000000-0004-0000-0200-0000DB090000}"/>
    <hyperlink ref="F2258" r:id="rId2525" xr:uid="{00000000-0004-0000-0200-0000DC090000}"/>
    <hyperlink ref="S2258" r:id="rId2526" xr:uid="{00000000-0004-0000-0200-0000DD090000}"/>
    <hyperlink ref="S2259" r:id="rId2527" xr:uid="{00000000-0004-0000-0200-0000DE090000}"/>
    <hyperlink ref="G2260" r:id="rId2528" xr:uid="{00000000-0004-0000-0200-0000DF090000}"/>
    <hyperlink ref="S2260" r:id="rId2529" xr:uid="{00000000-0004-0000-0200-0000E0090000}"/>
    <hyperlink ref="F2261" r:id="rId2530" xr:uid="{00000000-0004-0000-0200-0000E1090000}"/>
    <hyperlink ref="F2263" r:id="rId2531" xr:uid="{00000000-0004-0000-0200-0000E2090000}"/>
    <hyperlink ref="F2264" r:id="rId2532" xr:uid="{00000000-0004-0000-0200-0000E3090000}"/>
    <hyperlink ref="G2264" r:id="rId2533" xr:uid="{00000000-0004-0000-0200-0000E4090000}"/>
    <hyperlink ref="F2265" r:id="rId2534" xr:uid="{00000000-0004-0000-0200-0000E5090000}"/>
    <hyperlink ref="F2266" r:id="rId2535" xr:uid="{00000000-0004-0000-0200-0000E6090000}"/>
    <hyperlink ref="F2267" r:id="rId2536" xr:uid="{00000000-0004-0000-0200-0000E7090000}"/>
    <hyperlink ref="S2267" r:id="rId2537" xr:uid="{00000000-0004-0000-0200-0000E8090000}"/>
    <hyperlink ref="F2268" r:id="rId2538" xr:uid="{00000000-0004-0000-0200-0000E9090000}"/>
    <hyperlink ref="S2268" r:id="rId2539" xr:uid="{00000000-0004-0000-0200-0000EA090000}"/>
    <hyperlink ref="F2269" r:id="rId2540" xr:uid="{00000000-0004-0000-0200-0000EB090000}"/>
    <hyperlink ref="G2269" r:id="rId2541" xr:uid="{00000000-0004-0000-0200-0000EC090000}"/>
    <hyperlink ref="S2270" r:id="rId2542" xr:uid="{00000000-0004-0000-0200-0000ED090000}"/>
    <hyperlink ref="F2271" r:id="rId2543" xr:uid="{00000000-0004-0000-0200-0000EE090000}"/>
    <hyperlink ref="S2271" r:id="rId2544" xr:uid="{00000000-0004-0000-0200-0000EF090000}"/>
    <hyperlink ref="S2272" r:id="rId2545" xr:uid="{00000000-0004-0000-0200-0000F0090000}"/>
    <hyperlink ref="F2273" r:id="rId2546" xr:uid="{00000000-0004-0000-0200-0000F1090000}"/>
    <hyperlink ref="S2273" r:id="rId2547" xr:uid="{00000000-0004-0000-0200-0000F2090000}"/>
    <hyperlink ref="F2274" r:id="rId2548" xr:uid="{00000000-0004-0000-0200-0000F3090000}"/>
    <hyperlink ref="S2274" r:id="rId2549" xr:uid="{00000000-0004-0000-0200-0000F4090000}"/>
    <hyperlink ref="F2275" r:id="rId2550" xr:uid="{00000000-0004-0000-0200-0000F5090000}"/>
    <hyperlink ref="S2275" r:id="rId2551" xr:uid="{00000000-0004-0000-0200-0000F6090000}"/>
    <hyperlink ref="F2276" r:id="rId2552" xr:uid="{00000000-0004-0000-0200-0000F7090000}"/>
    <hyperlink ref="F2278" r:id="rId2553" xr:uid="{00000000-0004-0000-0200-0000F8090000}"/>
    <hyperlink ref="S2278" r:id="rId2554" xr:uid="{00000000-0004-0000-0200-0000F9090000}"/>
    <hyperlink ref="F2279" r:id="rId2555" xr:uid="{00000000-0004-0000-0200-0000FA090000}"/>
    <hyperlink ref="F2280" r:id="rId2556" xr:uid="{00000000-0004-0000-0200-0000FB090000}"/>
    <hyperlink ref="G2280" r:id="rId2557" xr:uid="{00000000-0004-0000-0200-0000FC090000}"/>
    <hyperlink ref="F2281" r:id="rId2558" xr:uid="{00000000-0004-0000-0200-0000FD090000}"/>
    <hyperlink ref="S2281" r:id="rId2559" xr:uid="{00000000-0004-0000-0200-0000FE090000}"/>
    <hyperlink ref="F2282" r:id="rId2560" xr:uid="{00000000-0004-0000-0200-0000FF090000}"/>
    <hyperlink ref="S2282" r:id="rId2561" xr:uid="{00000000-0004-0000-0200-0000000A0000}"/>
    <hyperlink ref="F2283" r:id="rId2562" xr:uid="{00000000-0004-0000-0200-0000010A0000}"/>
    <hyperlink ref="S2283" r:id="rId2563" xr:uid="{00000000-0004-0000-0200-0000020A0000}"/>
    <hyperlink ref="G2284" r:id="rId2564" xr:uid="{00000000-0004-0000-0200-0000030A0000}"/>
    <hyperlink ref="F2285" r:id="rId2565" xr:uid="{00000000-0004-0000-0200-0000040A0000}"/>
    <hyperlink ref="F2286" r:id="rId2566" xr:uid="{00000000-0004-0000-0200-0000050A0000}"/>
    <hyperlink ref="G2286" r:id="rId2567" xr:uid="{00000000-0004-0000-0200-0000060A0000}"/>
    <hyperlink ref="F2287" r:id="rId2568" xr:uid="{00000000-0004-0000-0200-0000070A0000}"/>
    <hyperlink ref="S2287" r:id="rId2569" xr:uid="{00000000-0004-0000-0200-0000080A0000}"/>
    <hyperlink ref="F2288" r:id="rId2570" xr:uid="{00000000-0004-0000-0200-0000090A0000}"/>
    <hyperlink ref="F2289" r:id="rId2571" xr:uid="{00000000-0004-0000-0200-00000A0A0000}"/>
    <hyperlink ref="G2290" r:id="rId2572" xr:uid="{00000000-0004-0000-0200-00000B0A0000}"/>
    <hyperlink ref="S2290" r:id="rId2573" xr:uid="{00000000-0004-0000-0200-00000C0A0000}"/>
    <hyperlink ref="F2292" r:id="rId2574" xr:uid="{00000000-0004-0000-0200-00000D0A0000}"/>
    <hyperlink ref="S2293" r:id="rId2575" xr:uid="{00000000-0004-0000-0200-00000E0A0000}"/>
    <hyperlink ref="F2294" r:id="rId2576" xr:uid="{00000000-0004-0000-0200-00000F0A0000}"/>
    <hyperlink ref="F2295" r:id="rId2577" xr:uid="{00000000-0004-0000-0200-0000100A0000}"/>
    <hyperlink ref="F2296" r:id="rId2578" xr:uid="{00000000-0004-0000-0200-0000110A0000}"/>
    <hyperlink ref="F2297" r:id="rId2579" xr:uid="{00000000-0004-0000-0200-0000120A0000}"/>
    <hyperlink ref="F2298" r:id="rId2580" xr:uid="{00000000-0004-0000-0200-0000130A0000}"/>
    <hyperlink ref="F2299" r:id="rId2581" xr:uid="{00000000-0004-0000-0200-0000140A0000}"/>
    <hyperlink ref="S2299" r:id="rId2582" xr:uid="{00000000-0004-0000-0200-0000150A0000}"/>
    <hyperlink ref="G2300" r:id="rId2583" xr:uid="{00000000-0004-0000-0200-0000160A0000}"/>
    <hyperlink ref="F2301" r:id="rId2584" xr:uid="{00000000-0004-0000-0200-0000170A0000}"/>
    <hyperlink ref="G2302" r:id="rId2585" xr:uid="{00000000-0004-0000-0200-0000180A0000}"/>
    <hyperlink ref="S2302" r:id="rId2586" xr:uid="{00000000-0004-0000-0200-0000190A0000}"/>
    <hyperlink ref="F2303" r:id="rId2587" xr:uid="{00000000-0004-0000-0200-00001A0A0000}"/>
    <hyperlink ref="S2303" r:id="rId2588" xr:uid="{00000000-0004-0000-0200-00001B0A0000}"/>
    <hyperlink ref="F2304" r:id="rId2589" xr:uid="{00000000-0004-0000-0200-00001C0A0000}"/>
    <hyperlink ref="S2304" r:id="rId2590" xr:uid="{00000000-0004-0000-0200-00001D0A0000}"/>
    <hyperlink ref="F2305" r:id="rId2591" xr:uid="{00000000-0004-0000-0200-00001E0A0000}"/>
    <hyperlink ref="F2307" r:id="rId2592" xr:uid="{00000000-0004-0000-0200-00001F0A0000}"/>
    <hyperlink ref="S2307" r:id="rId2593" xr:uid="{00000000-0004-0000-0200-0000200A0000}"/>
    <hyperlink ref="F2308" r:id="rId2594" xr:uid="{00000000-0004-0000-0200-0000210A0000}"/>
    <hyperlink ref="F2310" r:id="rId2595" xr:uid="{00000000-0004-0000-0200-0000220A0000}"/>
    <hyperlink ref="G2310" r:id="rId2596" xr:uid="{00000000-0004-0000-0200-0000230A0000}"/>
    <hyperlink ref="F2312" r:id="rId2597" xr:uid="{00000000-0004-0000-0200-0000240A0000}"/>
    <hyperlink ref="F2313" r:id="rId2598" xr:uid="{00000000-0004-0000-0200-0000250A0000}"/>
    <hyperlink ref="G2315" r:id="rId2599" xr:uid="{00000000-0004-0000-0200-0000260A0000}"/>
    <hyperlink ref="F2316" r:id="rId2600" xr:uid="{00000000-0004-0000-0200-0000270A0000}"/>
    <hyperlink ref="G2316" r:id="rId2601" xr:uid="{00000000-0004-0000-0200-0000280A0000}"/>
    <hyperlink ref="S2316" r:id="rId2602" xr:uid="{00000000-0004-0000-0200-0000290A0000}"/>
    <hyperlink ref="F2317" r:id="rId2603" xr:uid="{00000000-0004-0000-0200-00002A0A0000}"/>
    <hyperlink ref="F2318" r:id="rId2604" xr:uid="{00000000-0004-0000-0200-00002B0A0000}"/>
    <hyperlink ref="F2319" r:id="rId2605" xr:uid="{00000000-0004-0000-0200-00002C0A0000}"/>
    <hyperlink ref="G2319" r:id="rId2606" xr:uid="{00000000-0004-0000-0200-00002D0A0000}"/>
    <hyperlink ref="S2320" r:id="rId2607" xr:uid="{00000000-0004-0000-0200-00002E0A0000}"/>
    <hyperlink ref="F2321" r:id="rId2608" xr:uid="{00000000-0004-0000-0200-00002F0A0000}"/>
    <hyperlink ref="F2322" r:id="rId2609" xr:uid="{00000000-0004-0000-0200-0000300A0000}"/>
    <hyperlink ref="S2322" r:id="rId2610" xr:uid="{00000000-0004-0000-0200-0000310A0000}"/>
    <hyperlink ref="F2323" r:id="rId2611" xr:uid="{00000000-0004-0000-0200-0000320A0000}"/>
    <hyperlink ref="G2324" r:id="rId2612" xr:uid="{00000000-0004-0000-0200-0000330A0000}"/>
    <hyperlink ref="F2326" r:id="rId2613" xr:uid="{00000000-0004-0000-0200-0000340A0000}"/>
    <hyperlink ref="F2327" r:id="rId2614" xr:uid="{00000000-0004-0000-0200-0000350A0000}"/>
    <hyperlink ref="G2327" r:id="rId2615" xr:uid="{00000000-0004-0000-0200-0000360A0000}"/>
    <hyperlink ref="S2327" r:id="rId2616" xr:uid="{00000000-0004-0000-0200-0000370A0000}"/>
    <hyperlink ref="F2328" r:id="rId2617" xr:uid="{00000000-0004-0000-0200-0000380A0000}"/>
    <hyperlink ref="F2329" r:id="rId2618" xr:uid="{00000000-0004-0000-0200-0000390A0000}"/>
    <hyperlink ref="F2330" r:id="rId2619" xr:uid="{00000000-0004-0000-0200-00003A0A0000}"/>
    <hyperlink ref="F2331" r:id="rId2620" xr:uid="{00000000-0004-0000-0200-00003B0A0000}"/>
    <hyperlink ref="F2332" r:id="rId2621" xr:uid="{00000000-0004-0000-0200-00003C0A0000}"/>
    <hyperlink ref="G2332" r:id="rId2622" xr:uid="{00000000-0004-0000-0200-00003D0A0000}"/>
    <hyperlink ref="F2333" r:id="rId2623" xr:uid="{00000000-0004-0000-0200-00003E0A0000}"/>
    <hyperlink ref="S2333" r:id="rId2624" xr:uid="{00000000-0004-0000-0200-00003F0A0000}"/>
    <hyperlink ref="F2334" r:id="rId2625" xr:uid="{00000000-0004-0000-0200-0000400A0000}"/>
    <hyperlink ref="F2335" r:id="rId2626" xr:uid="{00000000-0004-0000-0200-0000410A0000}"/>
    <hyperlink ref="F2336" r:id="rId2627" xr:uid="{00000000-0004-0000-0200-0000420A0000}"/>
    <hyperlink ref="G2336" r:id="rId2628" xr:uid="{00000000-0004-0000-0200-0000430A0000}"/>
    <hyperlink ref="G2338" r:id="rId2629" xr:uid="{00000000-0004-0000-0200-0000440A0000}"/>
    <hyperlink ref="F2339" r:id="rId2630" xr:uid="{00000000-0004-0000-0200-0000450A0000}"/>
    <hyperlink ref="G2339" r:id="rId2631" xr:uid="{00000000-0004-0000-0200-0000460A0000}"/>
    <hyperlink ref="S2339" r:id="rId2632" xr:uid="{00000000-0004-0000-0200-0000470A0000}"/>
    <hyperlink ref="F2340" r:id="rId2633" xr:uid="{00000000-0004-0000-0200-0000480A0000}"/>
    <hyperlink ref="G2340" r:id="rId2634" xr:uid="{00000000-0004-0000-0200-0000490A0000}"/>
    <hyperlink ref="S2340" r:id="rId2635" xr:uid="{00000000-0004-0000-0200-00004A0A0000}"/>
    <hyperlink ref="F2341" r:id="rId2636" xr:uid="{00000000-0004-0000-0200-00004B0A0000}"/>
    <hyperlink ref="F2342" r:id="rId2637" xr:uid="{00000000-0004-0000-0200-00004C0A0000}"/>
    <hyperlink ref="F2345" r:id="rId2638" xr:uid="{00000000-0004-0000-0200-00004D0A0000}"/>
    <hyperlink ref="F2347" r:id="rId2639" xr:uid="{00000000-0004-0000-0200-00004E0A0000}"/>
    <hyperlink ref="S2348" r:id="rId2640" xr:uid="{00000000-0004-0000-0200-00004F0A0000}"/>
    <hyperlink ref="S2349" r:id="rId2641" xr:uid="{00000000-0004-0000-0200-0000500A0000}"/>
    <hyperlink ref="F2350" r:id="rId2642" xr:uid="{00000000-0004-0000-0200-0000510A0000}"/>
    <hyperlink ref="G2351" r:id="rId2643" xr:uid="{00000000-0004-0000-0200-0000520A0000}"/>
    <hyperlink ref="S2352" r:id="rId2644" xr:uid="{00000000-0004-0000-0200-0000530A0000}"/>
    <hyperlink ref="F2354" r:id="rId2645" location=".W_BL2lxTAWk.twitter" xr:uid="{00000000-0004-0000-0200-0000540A0000}"/>
    <hyperlink ref="F2355" r:id="rId2646" xr:uid="{00000000-0004-0000-0200-0000550A0000}"/>
    <hyperlink ref="S2355" r:id="rId2647" xr:uid="{00000000-0004-0000-0200-0000560A0000}"/>
    <hyperlink ref="F2356" r:id="rId2648" xr:uid="{00000000-0004-0000-0200-0000570A0000}"/>
    <hyperlink ref="F2357" r:id="rId2649" xr:uid="{00000000-0004-0000-0200-0000580A0000}"/>
    <hyperlink ref="G2357" r:id="rId2650" xr:uid="{00000000-0004-0000-0200-0000590A0000}"/>
    <hyperlink ref="S2357" r:id="rId2651" xr:uid="{00000000-0004-0000-0200-00005A0A0000}"/>
    <hyperlink ref="F2358" r:id="rId2652" xr:uid="{00000000-0004-0000-0200-00005B0A0000}"/>
    <hyperlink ref="F2360" r:id="rId2653" xr:uid="{00000000-0004-0000-0200-00005C0A0000}"/>
    <hyperlink ref="F2361" r:id="rId2654" xr:uid="{00000000-0004-0000-0200-00005D0A0000}"/>
    <hyperlink ref="F2363" r:id="rId2655" xr:uid="{00000000-0004-0000-0200-00005E0A0000}"/>
    <hyperlink ref="G2364" r:id="rId2656" xr:uid="{00000000-0004-0000-0200-00005F0A0000}"/>
    <hyperlink ref="F2365" r:id="rId2657" xr:uid="{00000000-0004-0000-0200-0000600A0000}"/>
    <hyperlink ref="F2366" r:id="rId2658" xr:uid="{00000000-0004-0000-0200-0000610A0000}"/>
    <hyperlink ref="S2366" r:id="rId2659" xr:uid="{00000000-0004-0000-0200-0000620A0000}"/>
    <hyperlink ref="F2368" r:id="rId2660" xr:uid="{00000000-0004-0000-0200-0000630A0000}"/>
    <hyperlink ref="F2369" r:id="rId2661" xr:uid="{00000000-0004-0000-0200-0000640A0000}"/>
    <hyperlink ref="F2370" r:id="rId2662" xr:uid="{00000000-0004-0000-0200-0000650A0000}"/>
    <hyperlink ref="S2370" r:id="rId2663" xr:uid="{00000000-0004-0000-0200-0000660A0000}"/>
    <hyperlink ref="F2371" r:id="rId2664" xr:uid="{00000000-0004-0000-0200-0000670A0000}"/>
    <hyperlink ref="G2371" r:id="rId2665" xr:uid="{00000000-0004-0000-0200-0000680A0000}"/>
    <hyperlink ref="S2371" r:id="rId2666" xr:uid="{00000000-0004-0000-0200-0000690A0000}"/>
    <hyperlink ref="F2372" r:id="rId2667" xr:uid="{00000000-0004-0000-0200-00006A0A0000}"/>
    <hyperlink ref="S2372" r:id="rId2668" xr:uid="{00000000-0004-0000-0200-00006B0A0000}"/>
    <hyperlink ref="F2373" r:id="rId2669" xr:uid="{00000000-0004-0000-0200-00006C0A0000}"/>
    <hyperlink ref="S2373" r:id="rId2670" xr:uid="{00000000-0004-0000-0200-00006D0A0000}"/>
    <hyperlink ref="F2374" r:id="rId2671" xr:uid="{00000000-0004-0000-0200-00006E0A0000}"/>
    <hyperlink ref="G2374" r:id="rId2672" xr:uid="{00000000-0004-0000-0200-00006F0A0000}"/>
    <hyperlink ref="S2374" r:id="rId2673" xr:uid="{00000000-0004-0000-0200-0000700A0000}"/>
    <hyperlink ref="G2375" r:id="rId2674" xr:uid="{00000000-0004-0000-0200-0000710A0000}"/>
    <hyperlink ref="S2376" r:id="rId2675" xr:uid="{00000000-0004-0000-0200-0000720A0000}"/>
    <hyperlink ref="F2377" r:id="rId2676" xr:uid="{00000000-0004-0000-0200-0000730A0000}"/>
    <hyperlink ref="G2377" r:id="rId2677" xr:uid="{00000000-0004-0000-0200-0000740A0000}"/>
    <hyperlink ref="S2377" r:id="rId2678" xr:uid="{00000000-0004-0000-0200-0000750A0000}"/>
    <hyperlink ref="G2379" r:id="rId2679" xr:uid="{00000000-0004-0000-0200-0000760A0000}"/>
    <hyperlink ref="S2379" r:id="rId2680" xr:uid="{00000000-0004-0000-0200-0000770A0000}"/>
    <hyperlink ref="F2380" r:id="rId2681" xr:uid="{00000000-0004-0000-0200-0000780A0000}"/>
    <hyperlink ref="S2380" r:id="rId2682" xr:uid="{00000000-0004-0000-0200-0000790A0000}"/>
    <hyperlink ref="S2381" r:id="rId2683" xr:uid="{00000000-0004-0000-0200-00007A0A0000}"/>
    <hyperlink ref="F2382" r:id="rId2684" xr:uid="{00000000-0004-0000-0200-00007B0A0000}"/>
    <hyperlink ref="F2384" r:id="rId2685" xr:uid="{00000000-0004-0000-0200-00007C0A0000}"/>
    <hyperlink ref="G2384" r:id="rId2686" xr:uid="{00000000-0004-0000-0200-00007D0A0000}"/>
    <hyperlink ref="F2385" r:id="rId2687" xr:uid="{00000000-0004-0000-0200-00007E0A0000}"/>
    <hyperlink ref="F2387" r:id="rId2688" xr:uid="{00000000-0004-0000-0200-00007F0A0000}"/>
    <hyperlink ref="G2387" r:id="rId2689" xr:uid="{00000000-0004-0000-0200-0000800A0000}"/>
    <hyperlink ref="S2387" r:id="rId2690" xr:uid="{00000000-0004-0000-0200-0000810A0000}"/>
    <hyperlink ref="G2388" r:id="rId2691" xr:uid="{00000000-0004-0000-0200-0000820A0000}"/>
    <hyperlink ref="F2389" r:id="rId2692" xr:uid="{00000000-0004-0000-0200-0000830A0000}"/>
    <hyperlink ref="F2390" r:id="rId2693" xr:uid="{00000000-0004-0000-0200-0000840A0000}"/>
    <hyperlink ref="F2391" r:id="rId2694" xr:uid="{00000000-0004-0000-0200-0000850A0000}"/>
    <hyperlink ref="S2391" r:id="rId2695" xr:uid="{00000000-0004-0000-0200-0000860A0000}"/>
    <hyperlink ref="F2392" r:id="rId2696" xr:uid="{00000000-0004-0000-0200-0000870A0000}"/>
    <hyperlink ref="F2393" r:id="rId2697" xr:uid="{00000000-0004-0000-0200-0000880A0000}"/>
    <hyperlink ref="S2394" r:id="rId2698" xr:uid="{00000000-0004-0000-0200-0000890A0000}"/>
    <hyperlink ref="F2396" r:id="rId2699" xr:uid="{00000000-0004-0000-0200-00008A0A0000}"/>
    <hyperlink ref="F2398" r:id="rId2700" xr:uid="{00000000-0004-0000-0200-00008B0A0000}"/>
    <hyperlink ref="F2399" r:id="rId2701" xr:uid="{00000000-0004-0000-0200-00008C0A0000}"/>
    <hyperlink ref="G2399" r:id="rId2702" xr:uid="{00000000-0004-0000-0200-00008D0A0000}"/>
    <hyperlink ref="S2399" r:id="rId2703" xr:uid="{00000000-0004-0000-0200-00008E0A0000}"/>
    <hyperlink ref="G2400" r:id="rId2704" xr:uid="{00000000-0004-0000-0200-00008F0A0000}"/>
    <hyperlink ref="S2401" r:id="rId2705" xr:uid="{00000000-0004-0000-0200-0000900A0000}"/>
    <hyperlink ref="G2402" r:id="rId2706" xr:uid="{00000000-0004-0000-0200-0000910A0000}"/>
    <hyperlink ref="F2403" r:id="rId2707" xr:uid="{00000000-0004-0000-0200-0000920A0000}"/>
    <hyperlink ref="F2404" r:id="rId2708" xr:uid="{00000000-0004-0000-0200-0000930A0000}"/>
    <hyperlink ref="F2405" r:id="rId2709" xr:uid="{00000000-0004-0000-0200-0000940A0000}"/>
    <hyperlink ref="S2406" r:id="rId2710" xr:uid="{00000000-0004-0000-0200-0000950A0000}"/>
    <hyperlink ref="F2407" r:id="rId2711" xr:uid="{00000000-0004-0000-0200-0000960A0000}"/>
    <hyperlink ref="F2408" r:id="rId2712" xr:uid="{00000000-0004-0000-0200-0000970A0000}"/>
    <hyperlink ref="F2409" r:id="rId2713" location=".W_BL2lxTAWk.twitter" xr:uid="{00000000-0004-0000-0200-0000980A0000}"/>
    <hyperlink ref="S2409" r:id="rId2714" xr:uid="{00000000-0004-0000-0200-0000990A0000}"/>
    <hyperlink ref="G2410" r:id="rId2715" xr:uid="{00000000-0004-0000-0200-00009A0A0000}"/>
    <hyperlink ref="F2411" r:id="rId2716" xr:uid="{00000000-0004-0000-0200-00009B0A0000}"/>
    <hyperlink ref="S2411" r:id="rId2717" xr:uid="{00000000-0004-0000-0200-00009C0A0000}"/>
    <hyperlink ref="F2412" r:id="rId2718" xr:uid="{00000000-0004-0000-0200-00009D0A0000}"/>
    <hyperlink ref="F2413" r:id="rId2719" xr:uid="{00000000-0004-0000-0200-00009E0A0000}"/>
    <hyperlink ref="S2413" r:id="rId2720" xr:uid="{00000000-0004-0000-0200-00009F0A0000}"/>
    <hyperlink ref="F2414" r:id="rId2721" xr:uid="{00000000-0004-0000-0200-0000A00A0000}"/>
    <hyperlink ref="S2414" r:id="rId2722" xr:uid="{00000000-0004-0000-0200-0000A10A0000}"/>
    <hyperlink ref="F2415" r:id="rId2723" xr:uid="{00000000-0004-0000-0200-0000A20A0000}"/>
    <hyperlink ref="S2415" r:id="rId2724" xr:uid="{00000000-0004-0000-0200-0000A30A0000}"/>
    <hyperlink ref="F2417" r:id="rId2725" xr:uid="{00000000-0004-0000-0200-0000A40A0000}"/>
    <hyperlink ref="F2418" r:id="rId2726" location="ns_campaign=rrss-inducido&amp;ns_mchannel=undefined&amp;ns_source=tw&amp;ns_linkname=undefined&amp;ns_fee=0" xr:uid="{00000000-0004-0000-0200-0000A50A0000}"/>
    <hyperlink ref="F2419" r:id="rId2727" xr:uid="{00000000-0004-0000-0200-0000A60A0000}"/>
    <hyperlink ref="S2419" r:id="rId2728" xr:uid="{00000000-0004-0000-0200-0000A70A0000}"/>
    <hyperlink ref="F2421" r:id="rId2729" xr:uid="{00000000-0004-0000-0200-0000A80A0000}"/>
    <hyperlink ref="F2422" r:id="rId2730" xr:uid="{00000000-0004-0000-0200-0000A90A0000}"/>
    <hyperlink ref="F2423" r:id="rId2731" xr:uid="{00000000-0004-0000-0200-0000AA0A0000}"/>
    <hyperlink ref="S2426" r:id="rId2732" xr:uid="{00000000-0004-0000-0200-0000AB0A0000}"/>
    <hyperlink ref="C2428" r:id="rId2733" xr:uid="{00000000-0004-0000-0200-0000AC0A0000}"/>
    <hyperlink ref="F2428" r:id="rId2734" xr:uid="{00000000-0004-0000-0200-0000AD0A0000}"/>
    <hyperlink ref="G2428" r:id="rId2735" xr:uid="{00000000-0004-0000-0200-0000AE0A0000}"/>
    <hyperlink ref="S2428" r:id="rId2736" xr:uid="{00000000-0004-0000-0200-0000AF0A0000}"/>
    <hyperlink ref="F2429" r:id="rId2737" xr:uid="{00000000-0004-0000-0200-0000B00A0000}"/>
    <hyperlink ref="S2429" r:id="rId2738" xr:uid="{00000000-0004-0000-0200-0000B10A0000}"/>
    <hyperlink ref="S2430" r:id="rId2739" xr:uid="{00000000-0004-0000-0200-0000B20A0000}"/>
    <hyperlink ref="F2431" r:id="rId2740" xr:uid="{00000000-0004-0000-0200-0000B30A0000}"/>
    <hyperlink ref="F2432" r:id="rId2741" xr:uid="{00000000-0004-0000-0200-0000B40A0000}"/>
    <hyperlink ref="G2433" r:id="rId2742" xr:uid="{00000000-0004-0000-0200-0000B50A0000}"/>
    <hyperlink ref="F2434" r:id="rId2743" xr:uid="{00000000-0004-0000-0200-0000B60A0000}"/>
    <hyperlink ref="F2435" r:id="rId2744" xr:uid="{00000000-0004-0000-0200-0000B70A0000}"/>
    <hyperlink ref="G2435" r:id="rId2745" xr:uid="{00000000-0004-0000-0200-0000B80A0000}"/>
    <hyperlink ref="S2435" r:id="rId2746" xr:uid="{00000000-0004-0000-0200-0000B90A0000}"/>
    <hyperlink ref="F2436" r:id="rId2747" xr:uid="{00000000-0004-0000-0200-0000BA0A0000}"/>
    <hyperlink ref="S2436" r:id="rId2748" xr:uid="{00000000-0004-0000-0200-0000BB0A0000}"/>
    <hyperlink ref="F2437" r:id="rId2749" xr:uid="{00000000-0004-0000-0200-0000BC0A0000}"/>
    <hyperlink ref="S2437" r:id="rId2750" xr:uid="{00000000-0004-0000-0200-0000BD0A0000}"/>
    <hyperlink ref="S2438" r:id="rId2751" xr:uid="{00000000-0004-0000-0200-0000BE0A0000}"/>
    <hyperlink ref="F2439" r:id="rId2752" xr:uid="{00000000-0004-0000-0200-0000BF0A0000}"/>
    <hyperlink ref="F2440" r:id="rId2753" xr:uid="{00000000-0004-0000-0200-0000C00A0000}"/>
    <hyperlink ref="S2441" r:id="rId2754" xr:uid="{00000000-0004-0000-0200-0000C10A0000}"/>
    <hyperlink ref="F2442" r:id="rId2755" xr:uid="{00000000-0004-0000-0200-0000C20A0000}"/>
    <hyperlink ref="F2443" r:id="rId2756" xr:uid="{00000000-0004-0000-0200-0000C30A0000}"/>
    <hyperlink ref="S2443" r:id="rId2757" xr:uid="{00000000-0004-0000-0200-0000C40A0000}"/>
    <hyperlink ref="F2444" r:id="rId2758" xr:uid="{00000000-0004-0000-0200-0000C50A0000}"/>
    <hyperlink ref="S2444" r:id="rId2759" xr:uid="{00000000-0004-0000-0200-0000C60A0000}"/>
    <hyperlink ref="F2445" r:id="rId2760" xr:uid="{00000000-0004-0000-0200-0000C70A0000}"/>
    <hyperlink ref="S2445" r:id="rId2761" xr:uid="{00000000-0004-0000-0200-0000C80A0000}"/>
    <hyperlink ref="F2446" r:id="rId2762" xr:uid="{00000000-0004-0000-0200-0000C90A0000}"/>
    <hyperlink ref="S2446" r:id="rId2763" xr:uid="{00000000-0004-0000-0200-0000CA0A0000}"/>
    <hyperlink ref="F2447" r:id="rId2764" xr:uid="{00000000-0004-0000-0200-0000CB0A0000}"/>
    <hyperlink ref="G2448" r:id="rId2765" xr:uid="{00000000-0004-0000-0200-0000CC0A0000}"/>
    <hyperlink ref="G2449" r:id="rId2766" xr:uid="{00000000-0004-0000-0200-0000CD0A0000}"/>
    <hyperlink ref="S2449" r:id="rId2767" xr:uid="{00000000-0004-0000-0200-0000CE0A0000}"/>
    <hyperlink ref="F2452" r:id="rId2768" xr:uid="{00000000-0004-0000-0200-0000CF0A0000}"/>
    <hyperlink ref="F2453" r:id="rId2769" xr:uid="{00000000-0004-0000-0200-0000D00A0000}"/>
    <hyperlink ref="F2455" r:id="rId2770" xr:uid="{00000000-0004-0000-0200-0000D10A0000}"/>
    <hyperlink ref="G2455" r:id="rId2771" xr:uid="{00000000-0004-0000-0200-0000D20A0000}"/>
    <hyperlink ref="F2456" r:id="rId2772" xr:uid="{00000000-0004-0000-0200-0000D30A0000}"/>
    <hyperlink ref="S2456" r:id="rId2773" xr:uid="{00000000-0004-0000-0200-0000D40A0000}"/>
    <hyperlink ref="G2457" r:id="rId2774" xr:uid="{00000000-0004-0000-0200-0000D50A0000}"/>
    <hyperlink ref="F2458" r:id="rId2775" xr:uid="{00000000-0004-0000-0200-0000D60A0000}"/>
    <hyperlink ref="G2458" r:id="rId2776" xr:uid="{00000000-0004-0000-0200-0000D70A0000}"/>
    <hyperlink ref="S2458" r:id="rId2777" xr:uid="{00000000-0004-0000-0200-0000D80A0000}"/>
    <hyperlink ref="S2459" r:id="rId2778" xr:uid="{00000000-0004-0000-0200-0000D90A0000}"/>
    <hyperlink ref="F2460" r:id="rId2779" xr:uid="{00000000-0004-0000-0200-0000DA0A0000}"/>
    <hyperlink ref="S2460" r:id="rId2780" xr:uid="{00000000-0004-0000-0200-0000DB0A0000}"/>
    <hyperlink ref="F2461" r:id="rId2781" xr:uid="{00000000-0004-0000-0200-0000DC0A0000}"/>
    <hyperlink ref="F2462" r:id="rId2782" xr:uid="{00000000-0004-0000-0200-0000DD0A0000}"/>
    <hyperlink ref="F2463" r:id="rId2783" xr:uid="{00000000-0004-0000-0200-0000DE0A0000}"/>
    <hyperlink ref="G2463" r:id="rId2784" xr:uid="{00000000-0004-0000-0200-0000DF0A0000}"/>
    <hyperlink ref="F2464" r:id="rId2785" xr:uid="{00000000-0004-0000-0200-0000E00A0000}"/>
    <hyperlink ref="S2464" r:id="rId2786" xr:uid="{00000000-0004-0000-0200-0000E10A0000}"/>
    <hyperlink ref="F2466" r:id="rId2787" xr:uid="{00000000-0004-0000-0200-0000E20A0000}"/>
    <hyperlink ref="F2467" r:id="rId2788" xr:uid="{00000000-0004-0000-0200-0000E30A0000}"/>
    <hyperlink ref="S2467" r:id="rId2789" xr:uid="{00000000-0004-0000-0200-0000E40A0000}"/>
    <hyperlink ref="F2469" r:id="rId2790" xr:uid="{00000000-0004-0000-0200-0000E50A0000}"/>
    <hyperlink ref="S2469" r:id="rId2791" xr:uid="{00000000-0004-0000-0200-0000E60A0000}"/>
    <hyperlink ref="F2470" r:id="rId2792" xr:uid="{00000000-0004-0000-0200-0000E70A0000}"/>
    <hyperlink ref="S2470" r:id="rId2793" xr:uid="{00000000-0004-0000-0200-0000E80A0000}"/>
    <hyperlink ref="F2471" r:id="rId2794" xr:uid="{00000000-0004-0000-0200-0000E90A0000}"/>
    <hyperlink ref="F2472" r:id="rId2795" xr:uid="{00000000-0004-0000-0200-0000EA0A0000}"/>
    <hyperlink ref="G2472" r:id="rId2796" xr:uid="{00000000-0004-0000-0200-0000EB0A0000}"/>
    <hyperlink ref="G2474" r:id="rId2797" xr:uid="{00000000-0004-0000-0200-0000EC0A0000}"/>
    <hyperlink ref="S2474" r:id="rId2798" xr:uid="{00000000-0004-0000-0200-0000ED0A0000}"/>
    <hyperlink ref="F2475" r:id="rId2799" xr:uid="{00000000-0004-0000-0200-0000EE0A0000}"/>
    <hyperlink ref="G2475" r:id="rId2800" xr:uid="{00000000-0004-0000-0200-0000EF0A0000}"/>
    <hyperlink ref="F2477" r:id="rId2801" xr:uid="{00000000-0004-0000-0200-0000F00A0000}"/>
    <hyperlink ref="F2478" r:id="rId2802" xr:uid="{00000000-0004-0000-0200-0000F10A0000}"/>
    <hyperlink ref="G2478" r:id="rId2803" xr:uid="{00000000-0004-0000-0200-0000F20A0000}"/>
    <hyperlink ref="S2478" r:id="rId2804" xr:uid="{00000000-0004-0000-0200-0000F30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Pablo Casado langes -filterretw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2018-12-10T18:11:03Z</dcterms:modified>
</cp:coreProperties>
</file>